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29"/>
  <workbookPr defaultThemeVersion="124226"/>
  <mc:AlternateContent xmlns:mc="http://schemas.openxmlformats.org/markup-compatibility/2006">
    <mc:Choice Requires="x15">
      <x15ac:absPath xmlns:x15ac="http://schemas.microsoft.com/office/spreadsheetml/2010/11/ac" url="C:\Users\David Duryee\Documents\leadtosucceed\60minsoftware\"/>
    </mc:Choice>
  </mc:AlternateContent>
  <workbookProtection workbookAlgorithmName="SHA-512" workbookHashValue="jDmOQDm0F9aIywBvvt1VqSNqyI9tgAhiotE6D5/I+fsXvuEsqlVtvxn0HfzmbD1MKi4fNRHQNAf1IZzWSjHAMA==" workbookSaltValue="4vNn4t0N5ibaRfAL39EdWg==" workbookSpinCount="100000" lockStructure="1"/>
  <bookViews>
    <workbookView xWindow="0" yWindow="0" windowWidth="28800" windowHeight="12210" tabRatio="907"/>
  </bookViews>
  <sheets>
    <sheet name="Title" sheetId="17" r:id="rId1"/>
    <sheet name="Start" sheetId="18" r:id="rId2"/>
    <sheet name="Management" sheetId="2" r:id="rId3"/>
    <sheet name="Finance" sheetId="3" r:id="rId4"/>
    <sheet name="Sales" sheetId="4" r:id="rId5"/>
    <sheet name="Production" sheetId="5" r:id="rId6"/>
    <sheet name="Warehouse" sheetId="7" r:id="rId7"/>
    <sheet name="RiskMgt" sheetId="6" r:id="rId8"/>
    <sheet name="Stop Here" sheetId="12" r:id="rId9"/>
    <sheet name="CEO Instructions" sheetId="14" r:id="rId10"/>
    <sheet name="Enter Results" sheetId="9" r:id="rId11"/>
    <sheet name="Report - Summary" sheetId="11" r:id="rId12"/>
    <sheet name="Report - Detail" sheetId="15" r:id="rId13"/>
  </sheets>
  <definedNames>
    <definedName name="AnswerMatrix">Start!$M$1:$N$4</definedName>
    <definedName name="Answers">Start!$M$1:$M$4</definedName>
    <definedName name="CompiliationCompany">'Enter Results'!$F$1</definedName>
    <definedName name="CompiliationDate">'Enter Results'!$F$3</definedName>
    <definedName name="CompiliationLocation">'Enter Results'!$F$2</definedName>
    <definedName name="Copyright">Start!$B$41</definedName>
    <definedName name="EraseEnterResults">'Enter Results'!$G$23:$J$28,'Enter Results'!$G$35:$J$40,'Enter Results'!$G$47:$J$52,'Enter Results'!$G$59:$J$64,'Enter Results'!$G$71:$J$76,'Enter Results'!$G$83:$J$88,'Enter Results'!$G$95:$J$100,'Enter Results'!$G$107:$J$112,'Enter Results'!$G$119:$J$124,'Enter Results'!$G$131:$J$136,'Enter Results'!$G$143:$J$148,'Enter Results'!$G$155:$J$160,'Enter Results'!$G$19,'Enter Results'!$G$31,'Enter Results'!$G$43,'Enter Results'!$G$55,'Enter Results'!$G$67,'Enter Results'!$G$79,'Enter Results'!$G$91,'Enter Results'!$G$103,'Enter Results'!$G$115,'Enter Results'!$G$127,'Enter Results'!$G$139,'Enter Results'!$G$151</definedName>
    <definedName name="EraseResults">'Enter Results'!$G$23:$J$28,'Enter Results'!$G$35:$J$40,'Enter Results'!$G$47:$J$52,'Enter Results'!$G$59:$J$64,'Enter Results'!$G$71:$J$76,'Enter Results'!$G$83:$J$88,'Enter Results'!$G$95:$J$100,'Enter Results'!$G$107:$J$112,'Enter Results'!$G$119:$J$124,'Enter Results'!$G$131:$J$136,'Enter Results'!$G$143:$J$148,'Enter Results'!$G$155:$J$160,'Enter Results'!$G$19,'Enter Results'!$G$31,'Enter Results'!$G$43,'Enter Results'!$G$55,'Enter Results'!$G$67,'Enter Results'!$G$79,'Enter Results'!$G$91,'Enter Results'!$G$103,'Enter Results'!$G$115,'Enter Results'!$G$127,'Enter Results'!$G$139,'Enter Results'!$G$151</definedName>
    <definedName name="Name1">'Enter Results'!$G$19</definedName>
    <definedName name="Name10">'Enter Results'!$G$127</definedName>
    <definedName name="Name11">'Enter Results'!$G$139</definedName>
    <definedName name="Name12">'Enter Results'!$G$151</definedName>
    <definedName name="Name2">'Enter Results'!$G$31</definedName>
    <definedName name="Name3">'Enter Results'!$G$43</definedName>
    <definedName name="Name4">'Enter Results'!$G$55</definedName>
    <definedName name="Name5">'Enter Results'!$G$67</definedName>
    <definedName name="Name6">'Enter Results'!$G$79</definedName>
    <definedName name="Name7">'Enter Results'!$G$91</definedName>
    <definedName name="Name8">'Enter Results'!$G$103</definedName>
    <definedName name="Name9">'Enter Results'!$G$115</definedName>
    <definedName name="NeededFin">'Enter Results'!$T$164</definedName>
    <definedName name="NeededMgmt">'Enter Results'!$S$164</definedName>
    <definedName name="NeededOps">'Enter Results'!$V$164</definedName>
    <definedName name="NeededRiskMgmt">'Enter Results'!$X$164</definedName>
    <definedName name="NeededSales">'Enter Results'!$U$164</definedName>
    <definedName name="NeededWhse">'Enter Results'!$W$164</definedName>
    <definedName name="Person10Total">'Enter Results'!$L$137</definedName>
    <definedName name="Person11Total">'Enter Results'!$L$149</definedName>
    <definedName name="Person12Total">'Enter Results'!$L$161</definedName>
    <definedName name="Person1Total">'Enter Results'!$L$29</definedName>
    <definedName name="Person2Total">'Enter Results'!$L$41</definedName>
    <definedName name="Person3Total">'Enter Results'!$L$53</definedName>
    <definedName name="Person4Total">'Enter Results'!$L$65</definedName>
    <definedName name="Person5Total">'Enter Results'!$L$77</definedName>
    <definedName name="Person6Total">'Enter Results'!$L$89</definedName>
    <definedName name="Person7Total">'Enter Results'!$L$101</definedName>
    <definedName name="Person8Total">'Enter Results'!$L$113</definedName>
    <definedName name="Person9Total">'Enter Results'!$L$125</definedName>
    <definedName name="PersonTotals">'Enter Results'!$D$165:$D$176</definedName>
    <definedName name="PointsFinance">Start!$E$26</definedName>
    <definedName name="PointsManagement">Start!$E$25</definedName>
    <definedName name="PointsOperations">Start!$E$28</definedName>
    <definedName name="PointsRiskManagement">Start!$E$30</definedName>
    <definedName name="PointsSales">Start!$E$27</definedName>
    <definedName name="PointsTotal">Start!$E$32</definedName>
    <definedName name="PointsWarehouse">Start!$E$29</definedName>
    <definedName name="_xlnm.Print_Area" localSheetId="9">'CEO Instructions'!$A$1:$J$43</definedName>
    <definedName name="_xlnm.Print_Area" localSheetId="10">'Enter Results'!$B$19:$O$162</definedName>
    <definedName name="_xlnm.Print_Area" localSheetId="3">Finance!$B$1:$C$25</definedName>
    <definedName name="_xlnm.Print_Area" localSheetId="2">Management!$B$1:$C$37</definedName>
    <definedName name="_xlnm.Print_Area" localSheetId="5">Production!$B$1:$C$32</definedName>
    <definedName name="_xlnm.Print_Area" localSheetId="12">'Report - Detail'!$B$23:$X$102</definedName>
    <definedName name="_xlnm.Print_Area" localSheetId="11">'Report - Summary'!$B$1:$AD$50</definedName>
    <definedName name="_xlnm.Print_Area" localSheetId="7">RiskMgt!$B$1:$C$23</definedName>
    <definedName name="_xlnm.Print_Area" localSheetId="4">Sales!$B$1:$C$24</definedName>
    <definedName name="_xlnm.Print_Area" localSheetId="1">Start!$B$1:$P$40</definedName>
    <definedName name="_xlnm.Print_Area" localSheetId="8">'Stop Here'!$B$2:$B$4</definedName>
    <definedName name="_xlnm.Print_Area" localSheetId="0">Title!$A$1:$A$41</definedName>
    <definedName name="_xlnm.Print_Area" localSheetId="6">Warehouse!$B$1:$C$25</definedName>
    <definedName name="_xlnm.Print_Titles" localSheetId="10">'Enter Results'!$1:$5</definedName>
    <definedName name="_xlnm.Print_Titles" localSheetId="12">'Report - Detail'!$1:$21</definedName>
    <definedName name="QuestionsFinance">Start!$D$26</definedName>
    <definedName name="QuestionsManagement">Start!$D$25</definedName>
    <definedName name="QuestionsOperations">Start!$D$28</definedName>
    <definedName name="QuestionsRiskManagement">Start!$D$30</definedName>
    <definedName name="QuestionsSales">Start!$D$27</definedName>
    <definedName name="QuestionsWarehouse">Start!$D$29</definedName>
    <definedName name="ReviewCompany">Start!$E$6</definedName>
    <definedName name="ReviewDate">Start!$J$7</definedName>
    <definedName name="ReviewLocation">Start!$I$6</definedName>
    <definedName name="ReviewPerson">Start!$E$7</definedName>
    <definedName name="Scores" localSheetId="12">'Report - Detail'!#REF!,'Report - Detail'!$I$14:$X$14,'Report - Detail'!$I$28:$X$28,'Report - Detail'!$I$34:$X$34,'Report - Detail'!$I$40:$X$40,'Report - Detail'!$I$46:$X$46</definedName>
    <definedName name="Scores">'Report - Summary'!$K$8:$K$14,'Report - Summary'!#REF!,'Report - Summary'!#REF!,'Report - Summary'!#REF!,'Report - Summary'!#REF!,'Report - Summary'!#REF!</definedName>
    <definedName name="SCORESf">Finance!$C$5:$C$24</definedName>
    <definedName name="SCORESm">Management!$C$6:$C$36</definedName>
    <definedName name="SCORESo">Production!$C$6:$C$34</definedName>
    <definedName name="SCORESr">RiskMgt!$C$6:$C$23</definedName>
    <definedName name="SCORESs">Sales!$C$6:$C$23</definedName>
    <definedName name="SCORESw">Warehouse!$C$6:$C$26</definedName>
    <definedName name="temp">'Report - Summary'!$R$6</definedName>
    <definedName name="temp1">'Enter Results'!#REF!</definedName>
    <definedName name="temp2">'Enter Results'!#REF!</definedName>
    <definedName name="temp3">'Enter Results'!#REF!</definedName>
    <definedName name="temp4">'Enter Results'!#REF!</definedName>
    <definedName name="TotalAnswersNeeded">'Enter Results'!$K$164</definedName>
    <definedName name="TotalAnswersNeeded2">'Enter Results'!$Q$164</definedName>
    <definedName name="TotalAnswersNeeded3">'Enter Results'!$R$164</definedName>
    <definedName name="TotalF">Finance!$C$25</definedName>
    <definedName name="TotalM">Management!$C$37</definedName>
    <definedName name="TotalO">Production!$C$32</definedName>
    <definedName name="TotalR">RiskMgt!$C$23</definedName>
    <definedName name="TotalS">Sales!$C$24</definedName>
    <definedName name="TotalW">Warehouse!$C$25</definedName>
    <definedName name="UnansweredQuestions">'Enter Results'!#REF!</definedName>
    <definedName name="Version">Start!$K$41</definedName>
  </definedNames>
  <calcPr calcId="171027"/>
</workbook>
</file>

<file path=xl/calcChain.xml><?xml version="1.0" encoding="utf-8"?>
<calcChain xmlns="http://schemas.openxmlformats.org/spreadsheetml/2006/main">
  <c r="A18" i="14" l="1"/>
  <c r="A2" i="14"/>
  <c r="G7" i="9"/>
  <c r="J16" i="9"/>
  <c r="I16" i="9"/>
  <c r="H16" i="9"/>
  <c r="J15" i="9"/>
  <c r="I15" i="9"/>
  <c r="H15" i="9"/>
  <c r="J14" i="9"/>
  <c r="I14" i="9"/>
  <c r="H14" i="9"/>
  <c r="J13" i="9"/>
  <c r="I13" i="9"/>
  <c r="H13" i="9"/>
  <c r="J12" i="9"/>
  <c r="I12" i="9"/>
  <c r="H12" i="9"/>
  <c r="J11" i="9"/>
  <c r="I11" i="9"/>
  <c r="H11" i="9"/>
  <c r="G16" i="9"/>
  <c r="G15" i="9"/>
  <c r="G14" i="9"/>
  <c r="G13" i="9"/>
  <c r="G12" i="9"/>
  <c r="G11" i="9"/>
  <c r="B2" i="18"/>
  <c r="E25" i="18"/>
  <c r="F25" i="18"/>
  <c r="G25" i="18"/>
  <c r="H25" i="18"/>
  <c r="I25" i="18"/>
  <c r="C37" i="2"/>
  <c r="J25" i="18"/>
  <c r="M25" i="18"/>
  <c r="K25" i="18"/>
  <c r="E26" i="18"/>
  <c r="F26" i="18"/>
  <c r="G26" i="18"/>
  <c r="H26" i="18"/>
  <c r="I26" i="18"/>
  <c r="J26" i="18"/>
  <c r="M26" i="18"/>
  <c r="K26" i="18"/>
  <c r="E27" i="18"/>
  <c r="F27" i="18"/>
  <c r="G27" i="18"/>
  <c r="H27" i="18"/>
  <c r="I27" i="18"/>
  <c r="J27" i="18"/>
  <c r="M27" i="18"/>
  <c r="K27" i="18"/>
  <c r="E28" i="18"/>
  <c r="F28" i="18"/>
  <c r="G28" i="18"/>
  <c r="H28" i="18"/>
  <c r="I28" i="18"/>
  <c r="J28" i="18"/>
  <c r="M28" i="18"/>
  <c r="K28" i="18"/>
  <c r="E29" i="18"/>
  <c r="F29" i="18"/>
  <c r="G29" i="18"/>
  <c r="H29" i="18"/>
  <c r="I29" i="18"/>
  <c r="J29" i="18"/>
  <c r="M29" i="18"/>
  <c r="K29" i="18"/>
  <c r="E30" i="18"/>
  <c r="F30" i="18"/>
  <c r="G30" i="18"/>
  <c r="H30" i="18"/>
  <c r="I30" i="18"/>
  <c r="J30" i="18"/>
  <c r="M30" i="18"/>
  <c r="K30" i="18"/>
  <c r="D32" i="18"/>
  <c r="E32" i="18"/>
  <c r="F32" i="18"/>
  <c r="G32" i="18"/>
  <c r="H32" i="18"/>
  <c r="I32" i="18"/>
  <c r="J32" i="18"/>
  <c r="M32" i="18"/>
  <c r="K32" i="18"/>
  <c r="M33" i="18"/>
  <c r="F34" i="18"/>
  <c r="A17" i="14"/>
  <c r="AC9" i="11"/>
  <c r="X2" i="15"/>
  <c r="A1" i="14"/>
  <c r="C5" i="9"/>
  <c r="D24" i="6"/>
  <c r="D26" i="7"/>
  <c r="D33" i="5"/>
  <c r="D25" i="4"/>
  <c r="D26" i="3"/>
  <c r="D38" i="2"/>
  <c r="D20" i="5"/>
  <c r="D19" i="5"/>
  <c r="D28" i="5"/>
  <c r="D18" i="5"/>
  <c r="D17" i="5"/>
  <c r="D16" i="5"/>
  <c r="D15" i="5"/>
  <c r="D14" i="5"/>
  <c r="D13" i="5"/>
  <c r="D12" i="5"/>
  <c r="D27" i="5"/>
  <c r="D26" i="5"/>
  <c r="D25" i="5"/>
  <c r="D9" i="5"/>
  <c r="D11" i="5"/>
  <c r="D10" i="5"/>
  <c r="D24" i="5"/>
  <c r="D23" i="5"/>
  <c r="D22" i="5"/>
  <c r="D8" i="5"/>
  <c r="D21" i="5"/>
  <c r="D7" i="5"/>
  <c r="B24" i="6"/>
  <c r="B26" i="7"/>
  <c r="B33" i="5"/>
  <c r="B25" i="4"/>
  <c r="B26" i="3"/>
  <c r="B38" i="2"/>
  <c r="C32" i="5"/>
  <c r="C25" i="3"/>
  <c r="C25" i="7"/>
  <c r="C23" i="6"/>
  <c r="D11" i="6"/>
  <c r="E16" i="9"/>
  <c r="E15" i="9"/>
  <c r="E14" i="9"/>
  <c r="E13" i="9"/>
  <c r="E11" i="9"/>
  <c r="E12" i="9"/>
  <c r="E17" i="9"/>
  <c r="K160" i="9"/>
  <c r="W93" i="15"/>
  <c r="K159" i="9"/>
  <c r="K158" i="9"/>
  <c r="K157" i="9"/>
  <c r="O92" i="15"/>
  <c r="K156" i="9"/>
  <c r="L92" i="15"/>
  <c r="K155" i="9"/>
  <c r="I92" i="15"/>
  <c r="K148" i="9"/>
  <c r="W84" i="15"/>
  <c r="K147" i="9"/>
  <c r="T86" i="15"/>
  <c r="K146" i="9"/>
  <c r="Q86" i="15"/>
  <c r="Q84" i="15"/>
  <c r="Q85" i="15"/>
  <c r="Q87" i="15"/>
  <c r="Q88" i="15"/>
  <c r="Q89" i="15"/>
  <c r="K145" i="9"/>
  <c r="K144" i="9"/>
  <c r="L87" i="15"/>
  <c r="K143" i="9"/>
  <c r="Q143" i="9"/>
  <c r="K136" i="9"/>
  <c r="W81" i="15"/>
  <c r="K135" i="9"/>
  <c r="K134" i="9"/>
  <c r="Q134" i="9"/>
  <c r="K133" i="9"/>
  <c r="K132" i="9"/>
  <c r="L79" i="15"/>
  <c r="Q132" i="9"/>
  <c r="K131" i="9"/>
  <c r="I79" i="15"/>
  <c r="K124" i="9"/>
  <c r="K123" i="9"/>
  <c r="T75" i="15"/>
  <c r="K122" i="9"/>
  <c r="K121" i="9"/>
  <c r="L121" i="9"/>
  <c r="K120" i="9"/>
  <c r="L74" i="15"/>
  <c r="K119" i="9"/>
  <c r="I75" i="15"/>
  <c r="K112" i="9"/>
  <c r="W66" i="15"/>
  <c r="K111" i="9"/>
  <c r="K110" i="9"/>
  <c r="Q69" i="15"/>
  <c r="K109" i="9"/>
  <c r="O69" i="15"/>
  <c r="K108" i="9"/>
  <c r="Q108" i="9"/>
  <c r="K107" i="9"/>
  <c r="K100" i="9"/>
  <c r="W61" i="15"/>
  <c r="K99" i="9"/>
  <c r="T60" i="15"/>
  <c r="K98" i="9"/>
  <c r="K97" i="9"/>
  <c r="Q97" i="9"/>
  <c r="K96" i="9"/>
  <c r="M96" i="9"/>
  <c r="V33" i="11"/>
  <c r="K95" i="9"/>
  <c r="M95" i="9"/>
  <c r="V32" i="11"/>
  <c r="K88" i="9"/>
  <c r="K87" i="9"/>
  <c r="T56" i="15"/>
  <c r="K86" i="9"/>
  <c r="L86" i="9"/>
  <c r="K85" i="9"/>
  <c r="K84" i="9"/>
  <c r="L53" i="15"/>
  <c r="K83" i="9"/>
  <c r="K76" i="9"/>
  <c r="W48" i="15"/>
  <c r="K75" i="9"/>
  <c r="L75" i="9"/>
  <c r="K74" i="9"/>
  <c r="K73" i="9"/>
  <c r="M73" i="9"/>
  <c r="I34" i="11"/>
  <c r="K72" i="9"/>
  <c r="M72" i="9"/>
  <c r="I33" i="11"/>
  <c r="K71" i="9"/>
  <c r="K64" i="9"/>
  <c r="K63" i="9"/>
  <c r="T44" i="15"/>
  <c r="K62" i="9"/>
  <c r="Q43" i="15"/>
  <c r="K61" i="9"/>
  <c r="K60" i="9"/>
  <c r="K59" i="9"/>
  <c r="I42" i="15"/>
  <c r="K52" i="9"/>
  <c r="W38" i="15"/>
  <c r="K51" i="9"/>
  <c r="K50" i="9"/>
  <c r="Q38" i="15"/>
  <c r="K49" i="9"/>
  <c r="K48" i="9"/>
  <c r="K47" i="9"/>
  <c r="K40" i="9"/>
  <c r="Q40" i="9"/>
  <c r="K39" i="9"/>
  <c r="K38" i="9"/>
  <c r="Q30" i="15"/>
  <c r="K37" i="9"/>
  <c r="K36" i="9"/>
  <c r="K35" i="9"/>
  <c r="I31" i="15"/>
  <c r="K23" i="9"/>
  <c r="K28" i="9"/>
  <c r="W26" i="15"/>
  <c r="K27" i="9"/>
  <c r="Q27" i="9"/>
  <c r="K26" i="9"/>
  <c r="Q24" i="15"/>
  <c r="K25" i="9"/>
  <c r="O23" i="15"/>
  <c r="K24" i="9"/>
  <c r="L24" i="9"/>
  <c r="C2" i="11"/>
  <c r="C2" i="15"/>
  <c r="X160" i="9"/>
  <c r="W159" i="9"/>
  <c r="V158" i="9"/>
  <c r="U157" i="9"/>
  <c r="T156" i="9"/>
  <c r="S155" i="9"/>
  <c r="X148" i="9"/>
  <c r="W147" i="9"/>
  <c r="V146" i="9"/>
  <c r="U145" i="9"/>
  <c r="T144" i="9"/>
  <c r="S143" i="9"/>
  <c r="X136" i="9"/>
  <c r="W135" i="9"/>
  <c r="V134" i="9"/>
  <c r="U133" i="9"/>
  <c r="T132" i="9"/>
  <c r="S131" i="9"/>
  <c r="X124" i="9"/>
  <c r="W123" i="9"/>
  <c r="V122" i="9"/>
  <c r="U121" i="9"/>
  <c r="T120" i="9"/>
  <c r="S119" i="9"/>
  <c r="X112" i="9"/>
  <c r="W111" i="9"/>
  <c r="V110" i="9"/>
  <c r="U109" i="9"/>
  <c r="T108" i="9"/>
  <c r="S107" i="9"/>
  <c r="X100" i="9"/>
  <c r="W99" i="9"/>
  <c r="V98" i="9"/>
  <c r="U97" i="9"/>
  <c r="T96" i="9"/>
  <c r="S95" i="9"/>
  <c r="X88" i="9"/>
  <c r="W87" i="9"/>
  <c r="V86" i="9"/>
  <c r="U85" i="9"/>
  <c r="T84" i="9"/>
  <c r="S83" i="9"/>
  <c r="X76" i="9"/>
  <c r="W75" i="9"/>
  <c r="V74" i="9"/>
  <c r="U73" i="9"/>
  <c r="T72" i="9"/>
  <c r="S71" i="9"/>
  <c r="X64" i="9"/>
  <c r="W63" i="9"/>
  <c r="V62" i="9"/>
  <c r="U61" i="9"/>
  <c r="T60" i="9"/>
  <c r="S59" i="9"/>
  <c r="X52" i="9"/>
  <c r="W51" i="9"/>
  <c r="V50" i="9"/>
  <c r="U49" i="9"/>
  <c r="U25" i="9"/>
  <c r="U37" i="9"/>
  <c r="U164" i="9"/>
  <c r="T48" i="9"/>
  <c r="S47" i="9"/>
  <c r="X40" i="9"/>
  <c r="W39" i="9"/>
  <c r="V38" i="9"/>
  <c r="T36" i="9"/>
  <c r="S35" i="9"/>
  <c r="S23" i="9"/>
  <c r="S164" i="9"/>
  <c r="X28" i="9"/>
  <c r="W27" i="9"/>
  <c r="V26" i="9"/>
  <c r="T24" i="9"/>
  <c r="D7" i="2"/>
  <c r="E160" i="9"/>
  <c r="E148" i="9"/>
  <c r="E136" i="9"/>
  <c r="E124" i="9"/>
  <c r="E112" i="9"/>
  <c r="E100" i="9"/>
  <c r="E88" i="9"/>
  <c r="E76" i="9"/>
  <c r="E64" i="9"/>
  <c r="E52" i="9"/>
  <c r="E40" i="9"/>
  <c r="E28" i="9"/>
  <c r="E159" i="9"/>
  <c r="E158" i="9"/>
  <c r="E157" i="9"/>
  <c r="E156" i="9"/>
  <c r="E155" i="9"/>
  <c r="E147" i="9"/>
  <c r="E146" i="9"/>
  <c r="E143" i="9"/>
  <c r="E144" i="9"/>
  <c r="E145" i="9"/>
  <c r="E149" i="9"/>
  <c r="E135" i="9"/>
  <c r="E134" i="9"/>
  <c r="E133" i="9"/>
  <c r="E132" i="9"/>
  <c r="E131" i="9"/>
  <c r="E137" i="9"/>
  <c r="E123" i="9"/>
  <c r="E122" i="9"/>
  <c r="E121" i="9"/>
  <c r="E120" i="9"/>
  <c r="E119" i="9"/>
  <c r="E111" i="9"/>
  <c r="E110" i="9"/>
  <c r="E109" i="9"/>
  <c r="E108" i="9"/>
  <c r="E107" i="9"/>
  <c r="E99" i="9"/>
  <c r="E98" i="9"/>
  <c r="E97" i="9"/>
  <c r="E96" i="9"/>
  <c r="E95" i="9"/>
  <c r="E87" i="9"/>
  <c r="E86" i="9"/>
  <c r="E85" i="9"/>
  <c r="E84" i="9"/>
  <c r="E83" i="9"/>
  <c r="E89" i="9"/>
  <c r="E75" i="9"/>
  <c r="E74" i="9"/>
  <c r="E73" i="9"/>
  <c r="E72" i="9"/>
  <c r="E71" i="9"/>
  <c r="E63" i="9"/>
  <c r="E62" i="9"/>
  <c r="E61" i="9"/>
  <c r="E60" i="9"/>
  <c r="E59" i="9"/>
  <c r="E51" i="9"/>
  <c r="E50" i="9"/>
  <c r="E47" i="9"/>
  <c r="E48" i="9"/>
  <c r="E49" i="9"/>
  <c r="E53" i="9"/>
  <c r="E39" i="9"/>
  <c r="E38" i="9"/>
  <c r="E37" i="9"/>
  <c r="E36" i="9"/>
  <c r="E35" i="9"/>
  <c r="E27" i="9"/>
  <c r="E26" i="9"/>
  <c r="E25" i="9"/>
  <c r="E24" i="9"/>
  <c r="E23" i="9"/>
  <c r="E29" i="9"/>
  <c r="J17" i="9"/>
  <c r="F76" i="9"/>
  <c r="AG12" i="11"/>
  <c r="F123" i="9"/>
  <c r="S77" i="15"/>
  <c r="F13" i="9"/>
  <c r="F97" i="9"/>
  <c r="F83" i="9"/>
  <c r="F119" i="9"/>
  <c r="B1" i="6"/>
  <c r="B1" i="7"/>
  <c r="B1" i="5"/>
  <c r="B1" i="4"/>
  <c r="B1" i="3"/>
  <c r="B1" i="2"/>
  <c r="C24" i="4"/>
  <c r="D22" i="6"/>
  <c r="D21" i="6"/>
  <c r="D20" i="6"/>
  <c r="D19" i="6"/>
  <c r="D18" i="6"/>
  <c r="D17" i="6"/>
  <c r="D16" i="6"/>
  <c r="D15" i="6"/>
  <c r="D14" i="6"/>
  <c r="D13" i="6"/>
  <c r="D12" i="6"/>
  <c r="D10" i="6"/>
  <c r="D9" i="6"/>
  <c r="D8" i="6"/>
  <c r="D24" i="7"/>
  <c r="D20" i="7"/>
  <c r="D19" i="7"/>
  <c r="D22" i="7"/>
  <c r="D18" i="7"/>
  <c r="D17" i="7"/>
  <c r="D16" i="7"/>
  <c r="D15" i="7"/>
  <c r="D21" i="7"/>
  <c r="D14" i="7"/>
  <c r="D13" i="7"/>
  <c r="D12" i="7"/>
  <c r="D11" i="7"/>
  <c r="D10" i="7"/>
  <c r="D23" i="7"/>
  <c r="D9" i="7"/>
  <c r="D8" i="7"/>
  <c r="D31" i="5"/>
  <c r="D30" i="5"/>
  <c r="D23" i="4"/>
  <c r="D22" i="4"/>
  <c r="D21" i="4"/>
  <c r="D20" i="4"/>
  <c r="D19" i="4"/>
  <c r="D18" i="4"/>
  <c r="D17" i="4"/>
  <c r="D16" i="4"/>
  <c r="D15" i="4"/>
  <c r="D14" i="4"/>
  <c r="D13" i="4"/>
  <c r="D12" i="4"/>
  <c r="D11" i="4"/>
  <c r="D10" i="4"/>
  <c r="D9" i="4"/>
  <c r="D8" i="4"/>
  <c r="D7" i="6"/>
  <c r="D7" i="7"/>
  <c r="D29" i="5"/>
  <c r="D7" i="4"/>
  <c r="D24" i="3"/>
  <c r="D23" i="3"/>
  <c r="D22" i="3"/>
  <c r="D21" i="3"/>
  <c r="D20" i="3"/>
  <c r="D19" i="3"/>
  <c r="D18" i="3"/>
  <c r="D17" i="3"/>
  <c r="D16" i="3"/>
  <c r="D15" i="3"/>
  <c r="D14" i="3"/>
  <c r="D13" i="3"/>
  <c r="D12" i="3"/>
  <c r="D11" i="3"/>
  <c r="D10" i="3"/>
  <c r="D9" i="3"/>
  <c r="D8" i="3"/>
  <c r="D7" i="3"/>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D8" i="2"/>
  <c r="H26" i="11"/>
  <c r="H25" i="11"/>
  <c r="H24" i="11"/>
  <c r="G23" i="11"/>
  <c r="H22" i="11"/>
  <c r="H21" i="11"/>
  <c r="I29" i="9"/>
  <c r="C3" i="11"/>
  <c r="C3" i="15"/>
  <c r="C1" i="11"/>
  <c r="C1" i="15"/>
  <c r="R21" i="11"/>
  <c r="R22" i="11"/>
  <c r="R23" i="11"/>
  <c r="R24" i="11"/>
  <c r="R25" i="11"/>
  <c r="R26" i="11"/>
  <c r="C90" i="15"/>
  <c r="C84" i="15"/>
  <c r="C78" i="15"/>
  <c r="C72" i="15"/>
  <c r="C66" i="15"/>
  <c r="C60" i="15"/>
  <c r="C53" i="15"/>
  <c r="C47" i="15"/>
  <c r="X40" i="11"/>
  <c r="R40" i="11"/>
  <c r="L40" i="11"/>
  <c r="E40" i="11"/>
  <c r="X29" i="11"/>
  <c r="R29" i="11"/>
  <c r="L29" i="11"/>
  <c r="E29" i="11"/>
  <c r="AA48" i="11"/>
  <c r="Z48" i="11"/>
  <c r="Y48" i="11"/>
  <c r="X48" i="11"/>
  <c r="AA47" i="11"/>
  <c r="Z47" i="11"/>
  <c r="Y47" i="11"/>
  <c r="X47" i="11"/>
  <c r="AA46" i="11"/>
  <c r="Z46" i="11"/>
  <c r="Y46" i="11"/>
  <c r="X46" i="11"/>
  <c r="AA45" i="11"/>
  <c r="Z45" i="11"/>
  <c r="Y45" i="11"/>
  <c r="X45" i="11"/>
  <c r="AA44" i="11"/>
  <c r="Z44" i="11"/>
  <c r="Y44" i="11"/>
  <c r="X44" i="11"/>
  <c r="X43" i="11"/>
  <c r="X49" i="11"/>
  <c r="AA43" i="11"/>
  <c r="AA49" i="11"/>
  <c r="Z43" i="11"/>
  <c r="Z49" i="11"/>
  <c r="Y43" i="11"/>
  <c r="Y49" i="11"/>
  <c r="U48" i="11"/>
  <c r="T48" i="11"/>
  <c r="S48" i="11"/>
  <c r="R48" i="11"/>
  <c r="U47" i="11"/>
  <c r="T47" i="11"/>
  <c r="S47" i="11"/>
  <c r="R47" i="11"/>
  <c r="U46" i="11"/>
  <c r="T46" i="11"/>
  <c r="S46" i="11"/>
  <c r="R46" i="11"/>
  <c r="U45" i="11"/>
  <c r="T45" i="11"/>
  <c r="S45" i="11"/>
  <c r="R45" i="11"/>
  <c r="U44" i="11"/>
  <c r="T44" i="11"/>
  <c r="S44" i="11"/>
  <c r="R44" i="11"/>
  <c r="U43" i="11"/>
  <c r="U49" i="11"/>
  <c r="T43" i="11"/>
  <c r="S43" i="11"/>
  <c r="S49" i="11"/>
  <c r="R43" i="11"/>
  <c r="R49" i="11"/>
  <c r="O48" i="11"/>
  <c r="N48" i="11"/>
  <c r="M48" i="11"/>
  <c r="L48" i="11"/>
  <c r="O47" i="11"/>
  <c r="N47" i="11"/>
  <c r="M47" i="11"/>
  <c r="L47" i="11"/>
  <c r="O46" i="11"/>
  <c r="N46" i="11"/>
  <c r="M46" i="11"/>
  <c r="L46" i="11"/>
  <c r="O45" i="11"/>
  <c r="N45" i="11"/>
  <c r="M45" i="11"/>
  <c r="L45" i="11"/>
  <c r="O44" i="11"/>
  <c r="N44" i="11"/>
  <c r="M44" i="11"/>
  <c r="L44" i="11"/>
  <c r="O43" i="11"/>
  <c r="N43" i="11"/>
  <c r="M43" i="11"/>
  <c r="L43" i="11"/>
  <c r="H48" i="11"/>
  <c r="G48" i="11"/>
  <c r="F48" i="11"/>
  <c r="E48" i="11"/>
  <c r="H47" i="11"/>
  <c r="G47" i="11"/>
  <c r="F47" i="11"/>
  <c r="E47" i="11"/>
  <c r="H46" i="11"/>
  <c r="G46" i="11"/>
  <c r="F46" i="11"/>
  <c r="E46" i="11"/>
  <c r="H45" i="11"/>
  <c r="G45" i="11"/>
  <c r="F45" i="11"/>
  <c r="E45" i="11"/>
  <c r="H44" i="11"/>
  <c r="G44" i="11"/>
  <c r="F44" i="11"/>
  <c r="F43" i="11"/>
  <c r="F49" i="11"/>
  <c r="E44" i="11"/>
  <c r="H43" i="11"/>
  <c r="H49" i="11"/>
  <c r="G43" i="11"/>
  <c r="G49" i="11"/>
  <c r="E43" i="11"/>
  <c r="E49" i="11"/>
  <c r="AA37" i="11"/>
  <c r="Z37" i="11"/>
  <c r="Y37" i="11"/>
  <c r="X37" i="11"/>
  <c r="AA36" i="11"/>
  <c r="Z36" i="11"/>
  <c r="Y36" i="11"/>
  <c r="X36" i="11"/>
  <c r="AA35" i="11"/>
  <c r="Z35" i="11"/>
  <c r="Y35" i="11"/>
  <c r="X35" i="11"/>
  <c r="AA34" i="11"/>
  <c r="H23" i="11"/>
  <c r="O23" i="11"/>
  <c r="U23" i="11"/>
  <c r="AA23" i="11"/>
  <c r="H34" i="11"/>
  <c r="O34" i="11"/>
  <c r="U34" i="11"/>
  <c r="H10" i="11"/>
  <c r="Z34" i="11"/>
  <c r="Y34" i="11"/>
  <c r="X34" i="11"/>
  <c r="AA33" i="11"/>
  <c r="AA32" i="11"/>
  <c r="AA38" i="11"/>
  <c r="Z33" i="11"/>
  <c r="Y33" i="11"/>
  <c r="X33" i="11"/>
  <c r="Z32" i="11"/>
  <c r="Y32" i="11"/>
  <c r="X32" i="11"/>
  <c r="X38" i="11"/>
  <c r="U37" i="11"/>
  <c r="T37" i="11"/>
  <c r="S37" i="11"/>
  <c r="R37" i="11"/>
  <c r="U36" i="11"/>
  <c r="T36" i="11"/>
  <c r="S36" i="11"/>
  <c r="R36" i="11"/>
  <c r="U35" i="11"/>
  <c r="T35" i="11"/>
  <c r="S35" i="11"/>
  <c r="R35" i="11"/>
  <c r="T34" i="11"/>
  <c r="S34" i="11"/>
  <c r="R34" i="11"/>
  <c r="U33" i="11"/>
  <c r="T33" i="11"/>
  <c r="S33" i="11"/>
  <c r="R33" i="11"/>
  <c r="U32" i="11"/>
  <c r="U38" i="11"/>
  <c r="T32" i="11"/>
  <c r="T38" i="11"/>
  <c r="S32" i="11"/>
  <c r="S38" i="11"/>
  <c r="R32" i="11"/>
  <c r="O37" i="11"/>
  <c r="N37" i="11"/>
  <c r="M37" i="11"/>
  <c r="F26" i="11"/>
  <c r="M26" i="11"/>
  <c r="S26" i="11"/>
  <c r="Y26" i="11"/>
  <c r="F37" i="11"/>
  <c r="F13" i="11"/>
  <c r="L37" i="11"/>
  <c r="O36" i="11"/>
  <c r="N36" i="11"/>
  <c r="M36" i="11"/>
  <c r="F25" i="11"/>
  <c r="M25" i="11"/>
  <c r="S25" i="11"/>
  <c r="Y25" i="11"/>
  <c r="F36" i="11"/>
  <c r="F12" i="11"/>
  <c r="L36" i="11"/>
  <c r="O35" i="11"/>
  <c r="N35" i="11"/>
  <c r="M35" i="11"/>
  <c r="L35" i="11"/>
  <c r="N34" i="11"/>
  <c r="M34" i="11"/>
  <c r="L34" i="11"/>
  <c r="O33" i="11"/>
  <c r="N33" i="11"/>
  <c r="M33" i="11"/>
  <c r="L33" i="11"/>
  <c r="O32" i="11"/>
  <c r="O38" i="11"/>
  <c r="N32" i="11"/>
  <c r="N38" i="11"/>
  <c r="M32" i="11"/>
  <c r="L32" i="11"/>
  <c r="L38" i="11"/>
  <c r="H37" i="11"/>
  <c r="G37" i="11"/>
  <c r="E37" i="11"/>
  <c r="H36" i="11"/>
  <c r="H32" i="11"/>
  <c r="H33" i="11"/>
  <c r="H35" i="11"/>
  <c r="H38" i="11"/>
  <c r="G36" i="11"/>
  <c r="E36" i="11"/>
  <c r="G35" i="11"/>
  <c r="F35" i="11"/>
  <c r="E35" i="11"/>
  <c r="G34" i="11"/>
  <c r="F34" i="11"/>
  <c r="E34" i="11"/>
  <c r="G33" i="11"/>
  <c r="F33" i="11"/>
  <c r="F32" i="11"/>
  <c r="F38" i="11"/>
  <c r="E33" i="11"/>
  <c r="G32" i="11"/>
  <c r="G38" i="11"/>
  <c r="E32" i="11"/>
  <c r="E38" i="11"/>
  <c r="J161" i="9"/>
  <c r="I161" i="9"/>
  <c r="H161" i="9"/>
  <c r="G161" i="9"/>
  <c r="J149" i="9"/>
  <c r="I149" i="9"/>
  <c r="H149" i="9"/>
  <c r="G149" i="9"/>
  <c r="J137" i="9"/>
  <c r="I137" i="9"/>
  <c r="H137" i="9"/>
  <c r="G137" i="9"/>
  <c r="J125" i="9"/>
  <c r="I125" i="9"/>
  <c r="H125" i="9"/>
  <c r="G125" i="9"/>
  <c r="J113" i="9"/>
  <c r="I113" i="9"/>
  <c r="H113" i="9"/>
  <c r="G113" i="9"/>
  <c r="J101" i="9"/>
  <c r="I101" i="9"/>
  <c r="H101" i="9"/>
  <c r="G101" i="9"/>
  <c r="J89" i="9"/>
  <c r="I89" i="9"/>
  <c r="H89" i="9"/>
  <c r="G89" i="9"/>
  <c r="J77" i="9"/>
  <c r="I77" i="9"/>
  <c r="H77" i="9"/>
  <c r="G77" i="9"/>
  <c r="C41" i="15"/>
  <c r="C35" i="15"/>
  <c r="C29" i="15"/>
  <c r="C23" i="15"/>
  <c r="B25" i="6"/>
  <c r="B35" i="5"/>
  <c r="X21" i="11"/>
  <c r="X22" i="11"/>
  <c r="X23" i="11"/>
  <c r="X24" i="11"/>
  <c r="X25" i="11"/>
  <c r="E25" i="11"/>
  <c r="L25" i="11"/>
  <c r="E12" i="11"/>
  <c r="X26" i="11"/>
  <c r="U21" i="11"/>
  <c r="AA21" i="11"/>
  <c r="S21" i="11"/>
  <c r="Y21" i="11"/>
  <c r="T21" i="11"/>
  <c r="Z21" i="11"/>
  <c r="U22" i="11"/>
  <c r="AA22" i="11"/>
  <c r="S22" i="11"/>
  <c r="Y22" i="11"/>
  <c r="T22" i="11"/>
  <c r="T23" i="11"/>
  <c r="T24" i="11"/>
  <c r="T25" i="11"/>
  <c r="T26" i="11"/>
  <c r="T27" i="11"/>
  <c r="Z22" i="11"/>
  <c r="S23" i="11"/>
  <c r="F23" i="11"/>
  <c r="M23" i="11"/>
  <c r="Y23" i="11"/>
  <c r="F10" i="11"/>
  <c r="Z23" i="11"/>
  <c r="L26" i="11"/>
  <c r="E26" i="11"/>
  <c r="E13" i="11"/>
  <c r="U24" i="11"/>
  <c r="AA24" i="11"/>
  <c r="S24" i="11"/>
  <c r="Y24" i="11"/>
  <c r="Y27" i="11"/>
  <c r="Z24" i="11"/>
  <c r="Z25" i="11"/>
  <c r="Z26" i="11"/>
  <c r="U25" i="11"/>
  <c r="AA25" i="11"/>
  <c r="U26" i="11"/>
  <c r="AA26" i="11"/>
  <c r="O26" i="11"/>
  <c r="H13" i="11"/>
  <c r="X18" i="11"/>
  <c r="R18" i="11"/>
  <c r="L18" i="11"/>
  <c r="E18" i="11"/>
  <c r="J65" i="9"/>
  <c r="I65" i="9"/>
  <c r="H65" i="9"/>
  <c r="G65" i="9"/>
  <c r="J53" i="9"/>
  <c r="I53" i="9"/>
  <c r="H53" i="9"/>
  <c r="G53" i="9"/>
  <c r="G29" i="9"/>
  <c r="N23" i="11"/>
  <c r="O22" i="11"/>
  <c r="L22" i="11"/>
  <c r="O24" i="11"/>
  <c r="H11" i="11"/>
  <c r="E21" i="11"/>
  <c r="L21" i="11"/>
  <c r="E23" i="11"/>
  <c r="L23" i="11"/>
  <c r="N26" i="11"/>
  <c r="O25" i="11"/>
  <c r="O21" i="11"/>
  <c r="J41" i="9"/>
  <c r="M24" i="11"/>
  <c r="M22" i="11"/>
  <c r="E22" i="11"/>
  <c r="E9" i="11"/>
  <c r="E24" i="11"/>
  <c r="F21" i="11"/>
  <c r="H29" i="9"/>
  <c r="G22" i="11"/>
  <c r="N25" i="11"/>
  <c r="M21" i="11"/>
  <c r="H41" i="9"/>
  <c r="F22" i="11"/>
  <c r="G21" i="11"/>
  <c r="G24" i="11"/>
  <c r="N21" i="11"/>
  <c r="I41" i="9"/>
  <c r="J29" i="9"/>
  <c r="F24" i="11"/>
  <c r="N24" i="11"/>
  <c r="L24" i="11"/>
  <c r="N22" i="11"/>
  <c r="G41" i="9"/>
  <c r="G26" i="11"/>
  <c r="G25" i="11"/>
  <c r="L13" i="15"/>
  <c r="F120" i="9"/>
  <c r="F25" i="9"/>
  <c r="F27" i="9"/>
  <c r="F28" i="9"/>
  <c r="S46" i="15"/>
  <c r="F133" i="9"/>
  <c r="S34" i="15"/>
  <c r="F99" i="9"/>
  <c r="F157" i="9"/>
  <c r="S65" i="15"/>
  <c r="S89" i="15"/>
  <c r="F96" i="9"/>
  <c r="AG9" i="11"/>
  <c r="F160" i="9"/>
  <c r="F112" i="9"/>
  <c r="F124" i="9"/>
  <c r="F132" i="9"/>
  <c r="F88" i="9"/>
  <c r="F61" i="9"/>
  <c r="AG10" i="11"/>
  <c r="O13" i="15"/>
  <c r="S28" i="15"/>
  <c r="S40" i="15"/>
  <c r="F121" i="9"/>
  <c r="S58" i="15"/>
  <c r="S71" i="15"/>
  <c r="S83" i="15"/>
  <c r="S95" i="15"/>
  <c r="O55" i="15"/>
  <c r="Q135" i="9"/>
  <c r="W86" i="15"/>
  <c r="L32" i="15"/>
  <c r="L30" i="15"/>
  <c r="F75" i="9"/>
  <c r="F135" i="9"/>
  <c r="T13" i="15"/>
  <c r="F147" i="9"/>
  <c r="F40" i="9"/>
  <c r="F148" i="9"/>
  <c r="F136" i="9"/>
  <c r="F100" i="9"/>
  <c r="O48" i="15"/>
  <c r="O32" i="15"/>
  <c r="F109" i="9"/>
  <c r="F49" i="9"/>
  <c r="S52" i="15"/>
  <c r="F85" i="9"/>
  <c r="F37" i="9"/>
  <c r="F145" i="9"/>
  <c r="F73" i="9"/>
  <c r="AG11" i="11"/>
  <c r="Q42" i="15"/>
  <c r="Q41" i="15"/>
  <c r="Q74" i="15"/>
  <c r="L110" i="9"/>
  <c r="W29" i="15"/>
  <c r="L37" i="9"/>
  <c r="L98" i="9"/>
  <c r="Q60" i="15"/>
  <c r="W91" i="15"/>
  <c r="L158" i="9"/>
  <c r="W85" i="15"/>
  <c r="L144" i="9"/>
  <c r="N144" i="9"/>
  <c r="W44" i="11"/>
  <c r="M144" i="9"/>
  <c r="V44" i="11"/>
  <c r="L86" i="15"/>
  <c r="N49" i="11"/>
  <c r="O49" i="11"/>
  <c r="L80" i="15"/>
  <c r="L81" i="15"/>
  <c r="L78" i="15"/>
  <c r="L119" i="9"/>
  <c r="N119" i="9"/>
  <c r="J43" i="11"/>
  <c r="M110" i="9"/>
  <c r="AB35" i="11"/>
  <c r="Q96" i="9"/>
  <c r="W62" i="15"/>
  <c r="W55" i="15"/>
  <c r="L84" i="9"/>
  <c r="M75" i="9"/>
  <c r="I36" i="11"/>
  <c r="T42" i="15"/>
  <c r="T41" i="15"/>
  <c r="W30" i="15"/>
  <c r="W32" i="15"/>
  <c r="I32" i="15"/>
  <c r="Q32" i="15"/>
  <c r="T32" i="15"/>
  <c r="X32" i="15"/>
  <c r="L27" i="9"/>
  <c r="O84" i="15"/>
  <c r="Q145" i="9"/>
  <c r="L159" i="9"/>
  <c r="F26" i="9"/>
  <c r="L39" i="9"/>
  <c r="N39" i="9"/>
  <c r="Q25" i="11"/>
  <c r="M122" i="9"/>
  <c r="I46" i="11"/>
  <c r="L122" i="9"/>
  <c r="F110" i="9"/>
  <c r="Q68" i="15"/>
  <c r="Q66" i="15"/>
  <c r="F35" i="9"/>
  <c r="F71" i="9"/>
  <c r="F47" i="9"/>
  <c r="F107" i="9"/>
  <c r="I55" i="15"/>
  <c r="L55" i="15"/>
  <c r="Q55" i="15"/>
  <c r="T55" i="15"/>
  <c r="X55" i="15"/>
  <c r="L50" i="9"/>
  <c r="N50" i="9"/>
  <c r="W24" i="11"/>
  <c r="Q37" i="15"/>
  <c r="Q35" i="15"/>
  <c r="Q36" i="15"/>
  <c r="Q39" i="15"/>
  <c r="Q40" i="15"/>
  <c r="Q50" i="9"/>
  <c r="I66" i="15"/>
  <c r="F146" i="9"/>
  <c r="F86" i="9"/>
  <c r="F134" i="9"/>
  <c r="F74" i="9"/>
  <c r="I43" i="15"/>
  <c r="M86" i="9"/>
  <c r="P35" i="11"/>
  <c r="Q56" i="15"/>
  <c r="Q53" i="15"/>
  <c r="N98" i="9"/>
  <c r="W35" i="11"/>
  <c r="Q122" i="9"/>
  <c r="L135" i="9"/>
  <c r="N135" i="9"/>
  <c r="Q47" i="11"/>
  <c r="T81" i="15"/>
  <c r="T80" i="15"/>
  <c r="M119" i="9"/>
  <c r="I43" i="11"/>
  <c r="I85" i="15"/>
  <c r="W31" i="15"/>
  <c r="L93" i="15"/>
  <c r="T23" i="15"/>
  <c r="Q63" i="9"/>
  <c r="L100" i="9"/>
  <c r="N100" i="9"/>
  <c r="W37" i="11"/>
  <c r="Q100" i="9"/>
  <c r="W60" i="15"/>
  <c r="M100" i="9"/>
  <c r="V37" i="11"/>
  <c r="M112" i="9"/>
  <c r="AB37" i="11"/>
  <c r="F24" i="9"/>
  <c r="M158" i="9"/>
  <c r="AB46" i="11"/>
  <c r="M135" i="9"/>
  <c r="P47" i="11"/>
  <c r="M132" i="9"/>
  <c r="P44" i="11"/>
  <c r="M63" i="9"/>
  <c r="AB25" i="11"/>
  <c r="M61" i="9"/>
  <c r="AB23" i="11"/>
  <c r="M50" i="9"/>
  <c r="V24" i="11"/>
  <c r="M40" i="9"/>
  <c r="P26" i="11"/>
  <c r="M27" i="9"/>
  <c r="I25" i="11"/>
  <c r="L90" i="15"/>
  <c r="I87" i="15"/>
  <c r="I74" i="15"/>
  <c r="I72" i="15"/>
  <c r="I73" i="15"/>
  <c r="I76" i="15"/>
  <c r="I77" i="15"/>
  <c r="Q95" i="9"/>
  <c r="T48" i="15"/>
  <c r="T47" i="15"/>
  <c r="M160" i="9"/>
  <c r="AB48" i="11"/>
  <c r="Q52" i="9"/>
  <c r="Q156" i="9"/>
  <c r="T49" i="15"/>
  <c r="M156" i="9"/>
  <c r="AB44" i="11"/>
  <c r="L143" i="9"/>
  <c r="N143" i="9"/>
  <c r="W43" i="11"/>
  <c r="I84" i="15"/>
  <c r="I60" i="15"/>
  <c r="I61" i="15"/>
  <c r="I62" i="15"/>
  <c r="I63" i="15"/>
  <c r="I64" i="15"/>
  <c r="I65" i="15"/>
  <c r="L36" i="15"/>
  <c r="L52" i="9"/>
  <c r="Q75" i="9"/>
  <c r="Q160" i="9"/>
  <c r="L160" i="9"/>
  <c r="N160" i="9"/>
  <c r="AC48" i="11"/>
  <c r="W90" i="15"/>
  <c r="M71" i="9"/>
  <c r="I32" i="11"/>
  <c r="L156" i="9"/>
  <c r="N156" i="9"/>
  <c r="AC44" i="11"/>
  <c r="I48" i="15"/>
  <c r="W37" i="15"/>
  <c r="T50" i="15"/>
  <c r="O67" i="15"/>
  <c r="Q119" i="9"/>
  <c r="W92" i="15"/>
  <c r="L146" i="9"/>
  <c r="O41" i="15"/>
  <c r="I35" i="15"/>
  <c r="O61" i="15"/>
  <c r="M26" i="9"/>
  <c r="I24" i="11"/>
  <c r="M35" i="9"/>
  <c r="P21" i="11"/>
  <c r="Q31" i="15"/>
  <c r="R38" i="11"/>
  <c r="L35" i="9"/>
  <c r="N35" i="9"/>
  <c r="Q21" i="11"/>
  <c r="T84" i="15"/>
  <c r="I30" i="15"/>
  <c r="Q84" i="9"/>
  <c r="Q23" i="15"/>
  <c r="Q26" i="9"/>
  <c r="O42" i="15"/>
  <c r="I38" i="15"/>
  <c r="Q35" i="9"/>
  <c r="M134" i="9"/>
  <c r="P46" i="11"/>
  <c r="Q25" i="15"/>
  <c r="Q26" i="15"/>
  <c r="Q27" i="15"/>
  <c r="Q112" i="9"/>
  <c r="O38" i="15"/>
  <c r="O73" i="15"/>
  <c r="T85" i="15"/>
  <c r="O75" i="15"/>
  <c r="O72" i="15"/>
  <c r="L54" i="15"/>
  <c r="L56" i="15"/>
  <c r="L60" i="15"/>
  <c r="Q109" i="9"/>
  <c r="L134" i="9"/>
  <c r="N134" i="9"/>
  <c r="Q46" i="11"/>
  <c r="L112" i="9"/>
  <c r="N112" i="9"/>
  <c r="AC37" i="11"/>
  <c r="Q47" i="15"/>
  <c r="M99" i="9"/>
  <c r="V36" i="11"/>
  <c r="T164" i="9"/>
  <c r="X164" i="9"/>
  <c r="W69" i="15"/>
  <c r="O66" i="15"/>
  <c r="O93" i="15"/>
  <c r="I41" i="15"/>
  <c r="M49" i="9"/>
  <c r="V23" i="11"/>
  <c r="M147" i="9"/>
  <c r="V47" i="11"/>
  <c r="O74" i="15"/>
  <c r="M121" i="9"/>
  <c r="I45" i="11"/>
  <c r="M25" i="9"/>
  <c r="I23" i="11"/>
  <c r="M74" i="9"/>
  <c r="I35" i="11"/>
  <c r="W68" i="15"/>
  <c r="M84" i="9"/>
  <c r="P33" i="11"/>
  <c r="W67" i="15"/>
  <c r="Q25" i="9"/>
  <c r="L25" i="9"/>
  <c r="N25" i="9"/>
  <c r="J23" i="11"/>
  <c r="L147" i="9"/>
  <c r="N147" i="9"/>
  <c r="W47" i="11"/>
  <c r="Q147" i="9"/>
  <c r="T87" i="15"/>
  <c r="Q121" i="9"/>
  <c r="I25" i="15"/>
  <c r="W41" i="15"/>
  <c r="L107" i="9"/>
  <c r="N107" i="9"/>
  <c r="AC32" i="11"/>
  <c r="M107" i="9"/>
  <c r="AB32" i="11"/>
  <c r="T72" i="15"/>
  <c r="Q123" i="9"/>
  <c r="L157" i="9"/>
  <c r="N157" i="9"/>
  <c r="AC45" i="11"/>
  <c r="O91" i="15"/>
  <c r="T74" i="15"/>
  <c r="M76" i="9"/>
  <c r="I37" i="11"/>
  <c r="M157" i="9"/>
  <c r="AB45" i="11"/>
  <c r="I69" i="15"/>
  <c r="Q76" i="9"/>
  <c r="L123" i="9"/>
  <c r="N123" i="9"/>
  <c r="J47" i="11"/>
  <c r="L26" i="9"/>
  <c r="N26" i="9"/>
  <c r="J24" i="11"/>
  <c r="I44" i="15"/>
  <c r="Q59" i="9"/>
  <c r="M59" i="9"/>
  <c r="AB21" i="11"/>
  <c r="L59" i="9"/>
  <c r="N59" i="9"/>
  <c r="AC21" i="11"/>
  <c r="I50" i="15"/>
  <c r="L71" i="9"/>
  <c r="N71" i="9"/>
  <c r="J32" i="11"/>
  <c r="Q92" i="15"/>
  <c r="Q93" i="15"/>
  <c r="Q90" i="15"/>
  <c r="Q91" i="15"/>
  <c r="Q158" i="9"/>
  <c r="M123" i="9"/>
  <c r="I47" i="11"/>
  <c r="L76" i="9"/>
  <c r="N76" i="9"/>
  <c r="J37" i="11"/>
  <c r="Q157" i="9"/>
  <c r="W47" i="15"/>
  <c r="Q36" i="9"/>
  <c r="L31" i="15"/>
  <c r="L36" i="9"/>
  <c r="N36" i="9"/>
  <c r="Q22" i="11"/>
  <c r="T30" i="15"/>
  <c r="M62" i="9"/>
  <c r="AB24" i="11"/>
  <c r="Q62" i="9"/>
  <c r="L87" i="9"/>
  <c r="N87" i="9"/>
  <c r="Q36" i="11"/>
  <c r="Q87" i="9"/>
  <c r="T53" i="15"/>
  <c r="T54" i="15"/>
  <c r="M87" i="9"/>
  <c r="P36" i="11"/>
  <c r="L96" i="9"/>
  <c r="N96" i="9"/>
  <c r="W33" i="11"/>
  <c r="L63" i="15"/>
  <c r="L62" i="15"/>
  <c r="O62" i="15"/>
  <c r="Q62" i="15"/>
  <c r="T62" i="15"/>
  <c r="X62" i="15"/>
  <c r="L61" i="15"/>
  <c r="Q61" i="15"/>
  <c r="T61" i="15"/>
  <c r="X61" i="15"/>
  <c r="K101" i="9"/>
  <c r="L99" i="9"/>
  <c r="Q131" i="9"/>
  <c r="I81" i="15"/>
  <c r="L131" i="9"/>
  <c r="N131" i="9"/>
  <c r="Q43" i="11"/>
  <c r="M131" i="9"/>
  <c r="P43" i="11"/>
  <c r="I86" i="15"/>
  <c r="M143" i="9"/>
  <c r="V43" i="11"/>
  <c r="I91" i="15"/>
  <c r="W50" i="15"/>
  <c r="O90" i="15"/>
  <c r="I68" i="15"/>
  <c r="G27" i="11"/>
  <c r="M27" i="11"/>
  <c r="L28" i="9"/>
  <c r="N28" i="9"/>
  <c r="J26" i="11"/>
  <c r="W25" i="15"/>
  <c r="Q28" i="9"/>
  <c r="M28" i="9"/>
  <c r="I26" i="11"/>
  <c r="W24" i="15"/>
  <c r="L38" i="15"/>
  <c r="L37" i="15"/>
  <c r="O50" i="15"/>
  <c r="Q73" i="9"/>
  <c r="O47" i="15"/>
  <c r="L73" i="9"/>
  <c r="N73" i="9"/>
  <c r="J34" i="11"/>
  <c r="W49" i="15"/>
  <c r="L85" i="9"/>
  <c r="O54" i="15"/>
  <c r="L97" i="9"/>
  <c r="O60" i="15"/>
  <c r="M97" i="9"/>
  <c r="V34" i="11"/>
  <c r="Q75" i="15"/>
  <c r="Q72" i="15"/>
  <c r="Q73" i="15"/>
  <c r="Q80" i="15"/>
  <c r="Q78" i="15"/>
  <c r="Q79" i="15"/>
  <c r="Q81" i="15"/>
  <c r="Q82" i="15"/>
  <c r="Q83" i="15"/>
  <c r="Q146" i="9"/>
  <c r="M146" i="9"/>
  <c r="V46" i="11"/>
  <c r="Q63" i="15"/>
  <c r="O27" i="11"/>
  <c r="Z27" i="11"/>
  <c r="L49" i="11"/>
  <c r="N85" i="9"/>
  <c r="Q34" i="11"/>
  <c r="L57" i="15"/>
  <c r="L58" i="15"/>
  <c r="L47" i="9"/>
  <c r="N47" i="9"/>
  <c r="W21" i="11"/>
  <c r="I36" i="15"/>
  <c r="K53" i="9"/>
  <c r="M101" i="9"/>
  <c r="V38" i="11"/>
  <c r="Q48" i="9"/>
  <c r="L35" i="15"/>
  <c r="L48" i="9"/>
  <c r="N48" i="9"/>
  <c r="W22" i="11"/>
  <c r="M48" i="9"/>
  <c r="V22" i="11"/>
  <c r="Y38" i="11"/>
  <c r="R27" i="11"/>
  <c r="Q28" i="15"/>
  <c r="W70" i="15"/>
  <c r="W71" i="15"/>
  <c r="O35" i="15"/>
  <c r="Q49" i="9"/>
  <c r="O37" i="15"/>
  <c r="L72" i="15"/>
  <c r="N97" i="9"/>
  <c r="W34" i="11"/>
  <c r="Q144" i="9"/>
  <c r="Q148" i="9"/>
  <c r="R149" i="9"/>
  <c r="Q72" i="9"/>
  <c r="E27" i="11"/>
  <c r="F108" i="9"/>
  <c r="F48" i="9"/>
  <c r="F84" i="9"/>
  <c r="F72" i="9"/>
  <c r="F12" i="9"/>
  <c r="F60" i="9"/>
  <c r="F144" i="9"/>
  <c r="F36" i="9"/>
  <c r="F156" i="9"/>
  <c r="N27" i="9"/>
  <c r="J25" i="11"/>
  <c r="T25" i="15"/>
  <c r="T26" i="15"/>
  <c r="T24" i="15"/>
  <c r="T27" i="15"/>
  <c r="T28" i="15"/>
  <c r="I80" i="15"/>
  <c r="I78" i="15"/>
  <c r="L148" i="9"/>
  <c r="N148" i="9"/>
  <c r="W48" i="11"/>
  <c r="M148" i="9"/>
  <c r="V48" i="11"/>
  <c r="M109" i="9"/>
  <c r="AB34" i="11"/>
  <c r="O68" i="15"/>
  <c r="O36" i="15"/>
  <c r="L23" i="15"/>
  <c r="T31" i="15"/>
  <c r="T29" i="15"/>
  <c r="Q39" i="9"/>
  <c r="M39" i="9"/>
  <c r="P25" i="11"/>
  <c r="Q51" i="9"/>
  <c r="T38" i="15"/>
  <c r="F9" i="11"/>
  <c r="M38" i="11"/>
  <c r="M49" i="11"/>
  <c r="E41" i="9"/>
  <c r="K29" i="9"/>
  <c r="M29" i="9"/>
  <c r="I27" i="11"/>
  <c r="L62" i="9"/>
  <c r="N62" i="9"/>
  <c r="AC24" i="11"/>
  <c r="Q44" i="15"/>
  <c r="Q45" i="15"/>
  <c r="Q46" i="15"/>
  <c r="O53" i="15"/>
  <c r="M85" i="9"/>
  <c r="P34" i="11"/>
  <c r="Q85" i="9"/>
  <c r="O56" i="15"/>
  <c r="T66" i="15"/>
  <c r="L84" i="15"/>
  <c r="K149" i="9"/>
  <c r="M149" i="9"/>
  <c r="V49" i="11"/>
  <c r="L85" i="15"/>
  <c r="L38" i="9"/>
  <c r="N38" i="9"/>
  <c r="Q24" i="11"/>
  <c r="M38" i="9"/>
  <c r="P24" i="11"/>
  <c r="Q29" i="15"/>
  <c r="Q33" i="15"/>
  <c r="Q34" i="15"/>
  <c r="Q38" i="9"/>
  <c r="L48" i="15"/>
  <c r="L50" i="15"/>
  <c r="L47" i="15"/>
  <c r="I47" i="15"/>
  <c r="X47" i="15"/>
  <c r="L72" i="9"/>
  <c r="N72" i="9"/>
  <c r="J33" i="11"/>
  <c r="L49" i="15"/>
  <c r="E11" i="11"/>
  <c r="H8" i="11"/>
  <c r="L49" i="9"/>
  <c r="N49" i="9"/>
  <c r="W23" i="11"/>
  <c r="L109" i="9"/>
  <c r="N109" i="9"/>
  <c r="AC34" i="11"/>
  <c r="O63" i="15"/>
  <c r="F62" i="9"/>
  <c r="F158" i="9"/>
  <c r="F98" i="9"/>
  <c r="F50" i="9"/>
  <c r="Q13" i="15"/>
  <c r="F122" i="9"/>
  <c r="F14" i="9"/>
  <c r="F38" i="9"/>
  <c r="O24" i="15"/>
  <c r="O26" i="15"/>
  <c r="O25" i="15"/>
  <c r="L95" i="9"/>
  <c r="N95" i="9"/>
  <c r="W32" i="11"/>
  <c r="N99" i="9"/>
  <c r="W36" i="11"/>
  <c r="Q99" i="9"/>
  <c r="T63" i="15"/>
  <c r="M133" i="9"/>
  <c r="P45" i="11"/>
  <c r="M145" i="9"/>
  <c r="V45" i="11"/>
  <c r="O86" i="15"/>
  <c r="L145" i="9"/>
  <c r="N145" i="9"/>
  <c r="W45" i="11"/>
  <c r="O87" i="15"/>
  <c r="O85" i="15"/>
  <c r="O88" i="15"/>
  <c r="O89" i="15"/>
  <c r="T49" i="11"/>
  <c r="W36" i="15"/>
  <c r="M52" i="9"/>
  <c r="V26" i="11"/>
  <c r="N52" i="9"/>
  <c r="W26" i="11"/>
  <c r="Q98" i="9"/>
  <c r="M98" i="9"/>
  <c r="V35" i="11"/>
  <c r="N158" i="9"/>
  <c r="AC46" i="11"/>
  <c r="Q67" i="15"/>
  <c r="Q70" i="15"/>
  <c r="Q71" i="15"/>
  <c r="F39" i="9"/>
  <c r="F51" i="9"/>
  <c r="F15" i="9"/>
  <c r="F87" i="9"/>
  <c r="F111" i="9"/>
  <c r="L60" i="9"/>
  <c r="N60" i="9"/>
  <c r="AC22" i="11"/>
  <c r="I49" i="15"/>
  <c r="Q71" i="9"/>
  <c r="Q86" i="9"/>
  <c r="Q54" i="15"/>
  <c r="Q110" i="9"/>
  <c r="N110" i="9"/>
  <c r="AC35" i="11"/>
  <c r="F131" i="9"/>
  <c r="F11" i="9"/>
  <c r="I13" i="15"/>
  <c r="F59" i="9"/>
  <c r="F23" i="9"/>
  <c r="F64" i="9"/>
  <c r="AG13" i="11"/>
  <c r="F16" i="9"/>
  <c r="W13" i="15"/>
  <c r="F52" i="9"/>
  <c r="M36" i="9"/>
  <c r="P22" i="11"/>
  <c r="L29" i="15"/>
  <c r="O43" i="15"/>
  <c r="L61" i="9"/>
  <c r="N61" i="9"/>
  <c r="AC23" i="11"/>
  <c r="O44" i="15"/>
  <c r="O45" i="15"/>
  <c r="O46" i="15"/>
  <c r="Q61" i="9"/>
  <c r="I56" i="15"/>
  <c r="L83" i="9"/>
  <c r="N83" i="9"/>
  <c r="Q32" i="11"/>
  <c r="Q83" i="9"/>
  <c r="Q107" i="9"/>
  <c r="I67" i="15"/>
  <c r="T78" i="15"/>
  <c r="T79" i="15"/>
  <c r="T82" i="15"/>
  <c r="T83" i="15"/>
  <c r="N146" i="9"/>
  <c r="W46" i="11"/>
  <c r="I17" i="9"/>
  <c r="F89" i="9"/>
  <c r="F125" i="9"/>
  <c r="F113" i="9"/>
  <c r="F53" i="9"/>
  <c r="F65" i="9"/>
  <c r="F101" i="9"/>
  <c r="O27" i="15"/>
  <c r="O39" i="15"/>
  <c r="O40" i="15"/>
  <c r="L53" i="9"/>
  <c r="D167" i="9"/>
  <c r="M53" i="9"/>
  <c r="V27" i="11"/>
  <c r="X84" i="15"/>
  <c r="L88" i="15"/>
  <c r="L89" i="15"/>
  <c r="L33" i="15"/>
  <c r="L34" i="15"/>
  <c r="X85" i="15"/>
  <c r="O29" i="15"/>
  <c r="O78" i="15"/>
  <c r="O7" i="15"/>
  <c r="L67" i="15"/>
  <c r="T67" i="15"/>
  <c r="X67" i="15"/>
  <c r="Q111" i="9"/>
  <c r="E113" i="9"/>
  <c r="R113" i="9"/>
  <c r="Q88" i="9"/>
  <c r="W54" i="15"/>
  <c r="W53" i="15"/>
  <c r="L88" i="9"/>
  <c r="N88" i="9"/>
  <c r="Q37" i="11"/>
  <c r="W56" i="15"/>
  <c r="X56" i="15"/>
  <c r="T69" i="15"/>
  <c r="T68" i="15"/>
  <c r="T70" i="15"/>
  <c r="T71" i="15"/>
  <c r="L133" i="9"/>
  <c r="N133" i="9"/>
  <c r="Q45" i="11"/>
  <c r="O80" i="15"/>
  <c r="K137" i="9"/>
  <c r="Q133" i="9"/>
  <c r="Q136" i="9"/>
  <c r="R137" i="9"/>
  <c r="O81" i="15"/>
  <c r="O10" i="15"/>
  <c r="T91" i="15"/>
  <c r="Q159" i="9"/>
  <c r="Q155" i="9"/>
  <c r="E161" i="9"/>
  <c r="R161" i="9"/>
  <c r="T90" i="15"/>
  <c r="T92" i="15"/>
  <c r="X92" i="15"/>
  <c r="M159" i="9"/>
  <c r="AB47" i="11"/>
  <c r="K15" i="9"/>
  <c r="M15" i="9"/>
  <c r="L29" i="9"/>
  <c r="D165" i="9"/>
  <c r="I51" i="15"/>
  <c r="I52" i="15"/>
  <c r="O79" i="15"/>
  <c r="L111" i="9"/>
  <c r="N111" i="9"/>
  <c r="AC36" i="11"/>
  <c r="T33" i="15"/>
  <c r="T34" i="15"/>
  <c r="O64" i="15"/>
  <c r="O65" i="15"/>
  <c r="M111" i="9"/>
  <c r="AB36" i="11"/>
  <c r="L25" i="15"/>
  <c r="X25" i="15"/>
  <c r="I70" i="15"/>
  <c r="I71" i="15"/>
  <c r="T93" i="15"/>
  <c r="X38" i="15"/>
  <c r="L108" i="9"/>
  <c r="N108" i="9"/>
  <c r="AC33" i="11"/>
  <c r="L64" i="15"/>
  <c r="L65" i="15"/>
  <c r="H17" i="9"/>
  <c r="Q37" i="9"/>
  <c r="R41" i="9"/>
  <c r="N37" i="9"/>
  <c r="Q23" i="11"/>
  <c r="M37" i="9"/>
  <c r="P23" i="11"/>
  <c r="O30" i="15"/>
  <c r="O8" i="15"/>
  <c r="O31" i="15"/>
  <c r="K41" i="9"/>
  <c r="Q47" i="9"/>
  <c r="R53" i="9"/>
  <c r="I37" i="15"/>
  <c r="M47" i="9"/>
  <c r="V21" i="11"/>
  <c r="T37" i="15"/>
  <c r="T35" i="15"/>
  <c r="T36" i="15"/>
  <c r="T39" i="15"/>
  <c r="T40" i="15"/>
  <c r="L51" i="9"/>
  <c r="X36" i="15"/>
  <c r="N51" i="9"/>
  <c r="W25" i="11"/>
  <c r="M51" i="9"/>
  <c r="V25" i="11"/>
  <c r="L44" i="15"/>
  <c r="L42" i="15"/>
  <c r="K65" i="9"/>
  <c r="Q60" i="9"/>
  <c r="M60" i="9"/>
  <c r="AB22" i="11"/>
  <c r="L64" i="9"/>
  <c r="Q64" i="9"/>
  <c r="W44" i="15"/>
  <c r="W43" i="15"/>
  <c r="M64" i="9"/>
  <c r="AB26" i="11"/>
  <c r="N64" i="9"/>
  <c r="AC26" i="11"/>
  <c r="W42" i="15"/>
  <c r="W45" i="15"/>
  <c r="W46" i="15"/>
  <c r="Q49" i="15"/>
  <c r="Q74" i="9"/>
  <c r="L74" i="9"/>
  <c r="N74" i="9"/>
  <c r="J35" i="11"/>
  <c r="Q48" i="15"/>
  <c r="Q50" i="15"/>
  <c r="Q51" i="15"/>
  <c r="Q52" i="15"/>
  <c r="X50" i="15"/>
  <c r="K77" i="9"/>
  <c r="I54" i="15"/>
  <c r="X54" i="15"/>
  <c r="M83" i="9"/>
  <c r="P32" i="11"/>
  <c r="K89" i="9"/>
  <c r="I53" i="15"/>
  <c r="N86" i="9"/>
  <c r="Q35" i="11"/>
  <c r="K11" i="9"/>
  <c r="Q24" i="9"/>
  <c r="N24" i="9"/>
  <c r="J22" i="11"/>
  <c r="L26" i="15"/>
  <c r="L69" i="15"/>
  <c r="L75" i="15"/>
  <c r="L10" i="15"/>
  <c r="M24" i="9"/>
  <c r="I22" i="11"/>
  <c r="L24" i="15"/>
  <c r="L27" i="15"/>
  <c r="L28" i="15"/>
  <c r="K113" i="9"/>
  <c r="L68" i="15"/>
  <c r="M108" i="9"/>
  <c r="AB33" i="11"/>
  <c r="L120" i="9"/>
  <c r="N120" i="9"/>
  <c r="J44" i="11"/>
  <c r="M120" i="9"/>
  <c r="I44" i="11"/>
  <c r="L73" i="15"/>
  <c r="Q120" i="9"/>
  <c r="K125" i="9"/>
  <c r="L125" i="9"/>
  <c r="Q124" i="9"/>
  <c r="W73" i="15"/>
  <c r="W75" i="15"/>
  <c r="M124" i="9"/>
  <c r="I48" i="11"/>
  <c r="L124" i="9"/>
  <c r="N124" i="9"/>
  <c r="J48" i="11"/>
  <c r="M136" i="9"/>
  <c r="P48" i="11"/>
  <c r="L136" i="9"/>
  <c r="N136" i="9"/>
  <c r="Q48" i="11"/>
  <c r="W80" i="15"/>
  <c r="W78" i="15"/>
  <c r="W79" i="15"/>
  <c r="W82" i="15"/>
  <c r="W83" i="15"/>
  <c r="I90" i="15"/>
  <c r="M155" i="9"/>
  <c r="AB43" i="11"/>
  <c r="I93" i="15"/>
  <c r="L155" i="9"/>
  <c r="N155" i="9"/>
  <c r="AC43" i="11"/>
  <c r="K161" i="9"/>
  <c r="W72" i="15"/>
  <c r="X72" i="15"/>
  <c r="N159" i="9"/>
  <c r="AC47" i="11"/>
  <c r="M88" i="9"/>
  <c r="P37" i="11"/>
  <c r="L66" i="15"/>
  <c r="X75" i="15"/>
  <c r="K13" i="9"/>
  <c r="L13" i="9"/>
  <c r="L149" i="9"/>
  <c r="N149" i="9"/>
  <c r="W49" i="11"/>
  <c r="D175" i="9"/>
  <c r="O28" i="15"/>
  <c r="W74" i="15"/>
  <c r="W9" i="15"/>
  <c r="Q57" i="15"/>
  <c r="Q58" i="15"/>
  <c r="O70" i="15"/>
  <c r="O71" i="15"/>
  <c r="X80" i="15"/>
  <c r="K12" i="9"/>
  <c r="I24" i="15"/>
  <c r="X24" i="15"/>
  <c r="I26" i="15"/>
  <c r="Q23" i="9"/>
  <c r="L23" i="9"/>
  <c r="N23" i="9"/>
  <c r="J21" i="11"/>
  <c r="I23" i="15"/>
  <c r="I27" i="15"/>
  <c r="I28" i="15"/>
  <c r="M23" i="9"/>
  <c r="I21" i="11"/>
  <c r="Q94" i="15"/>
  <c r="Q95" i="15"/>
  <c r="X74" i="15"/>
  <c r="I88" i="15"/>
  <c r="I89" i="15"/>
  <c r="T51" i="15"/>
  <c r="T52" i="15"/>
  <c r="X86" i="15"/>
  <c r="L77" i="9"/>
  <c r="D169" i="9"/>
  <c r="L89" i="9"/>
  <c r="L101" i="9"/>
  <c r="D171" i="9"/>
  <c r="M125" i="9"/>
  <c r="I49" i="11"/>
  <c r="W164" i="9"/>
  <c r="V164" i="9"/>
  <c r="T64" i="15"/>
  <c r="T65" i="15"/>
  <c r="L51" i="15"/>
  <c r="O57" i="15"/>
  <c r="O58" i="15"/>
  <c r="O76" i="15"/>
  <c r="O77" i="15"/>
  <c r="I45" i="15"/>
  <c r="I46" i="15"/>
  <c r="T88" i="15"/>
  <c r="T89" i="15"/>
  <c r="W94" i="15"/>
  <c r="W95" i="15"/>
  <c r="E101" i="9"/>
  <c r="R101" i="9"/>
  <c r="Q76" i="15"/>
  <c r="Q77" i="15"/>
  <c r="T57" i="15"/>
  <c r="T58" i="15"/>
  <c r="W51" i="15"/>
  <c r="W52" i="15"/>
  <c r="X31" i="15"/>
  <c r="E65" i="9"/>
  <c r="E77" i="9"/>
  <c r="R77" i="9"/>
  <c r="E125" i="9"/>
  <c r="D170" i="9"/>
  <c r="N89" i="9"/>
  <c r="Q38" i="11"/>
  <c r="L52" i="15"/>
  <c r="X60" i="15"/>
  <c r="X13" i="15"/>
  <c r="F149" i="9"/>
  <c r="F29" i="9"/>
  <c r="AG14" i="11"/>
  <c r="Q16" i="15"/>
  <c r="W33" i="15"/>
  <c r="W34" i="15"/>
  <c r="L82" i="15"/>
  <c r="L83" i="15"/>
  <c r="X81" i="15"/>
  <c r="G10" i="11"/>
  <c r="U27" i="11"/>
  <c r="H9" i="11"/>
  <c r="S27" i="11"/>
  <c r="X27" i="11"/>
  <c r="G13" i="11"/>
  <c r="AE13" i="11"/>
  <c r="Q17" i="15"/>
  <c r="N53" i="9"/>
  <c r="W27" i="11"/>
  <c r="F17" i="9"/>
  <c r="F41" i="9"/>
  <c r="F77" i="9"/>
  <c r="M13" i="9"/>
  <c r="R89" i="9"/>
  <c r="Q64" i="15"/>
  <c r="X68" i="15"/>
  <c r="E8" i="11"/>
  <c r="K16" i="9"/>
  <c r="N27" i="11"/>
  <c r="G8" i="11"/>
  <c r="F27" i="11"/>
  <c r="L27" i="11"/>
  <c r="E10" i="11"/>
  <c r="AE10" i="11"/>
  <c r="N101" i="9"/>
  <c r="W38" i="11"/>
  <c r="L39" i="15"/>
  <c r="I82" i="15"/>
  <c r="F161" i="9"/>
  <c r="F137" i="9"/>
  <c r="F11" i="11"/>
  <c r="G9" i="11"/>
  <c r="AE9" i="11"/>
  <c r="F8" i="11"/>
  <c r="F14" i="11"/>
  <c r="O94" i="15"/>
  <c r="O95" i="15"/>
  <c r="I94" i="15"/>
  <c r="G12" i="11"/>
  <c r="H12" i="11"/>
  <c r="AE12" i="11"/>
  <c r="X30" i="15"/>
  <c r="G11" i="11"/>
  <c r="H27" i="11"/>
  <c r="H14" i="11"/>
  <c r="N122" i="9"/>
  <c r="J46" i="11"/>
  <c r="M89" i="9"/>
  <c r="P38" i="11"/>
  <c r="AA27" i="11"/>
  <c r="Z38" i="11"/>
  <c r="F143" i="9"/>
  <c r="F155" i="9"/>
  <c r="W23" i="15"/>
  <c r="F95" i="9"/>
  <c r="W35" i="15"/>
  <c r="L63" i="9"/>
  <c r="N63" i="9"/>
  <c r="AC25" i="11"/>
  <c r="O49" i="15"/>
  <c r="F63" i="9"/>
  <c r="I29" i="15"/>
  <c r="N75" i="9"/>
  <c r="J36" i="11"/>
  <c r="N121" i="9"/>
  <c r="J45" i="11"/>
  <c r="T73" i="15"/>
  <c r="T76" i="15"/>
  <c r="T77" i="15"/>
  <c r="L40" i="9"/>
  <c r="N40" i="9"/>
  <c r="Q26" i="11"/>
  <c r="AG8" i="11"/>
  <c r="L43" i="15"/>
  <c r="T43" i="15"/>
  <c r="T45" i="15"/>
  <c r="T46" i="15"/>
  <c r="N84" i="9"/>
  <c r="Q33" i="11"/>
  <c r="W63" i="15"/>
  <c r="W64" i="15"/>
  <c r="W65" i="15"/>
  <c r="L132" i="9"/>
  <c r="N132" i="9"/>
  <c r="Q44" i="11"/>
  <c r="W87" i="15"/>
  <c r="X87" i="15"/>
  <c r="L41" i="15"/>
  <c r="F159" i="9"/>
  <c r="L91" i="15"/>
  <c r="L8" i="15"/>
  <c r="L11" i="9"/>
  <c r="M11" i="9"/>
  <c r="L161" i="9"/>
  <c r="D176" i="9"/>
  <c r="M113" i="9"/>
  <c r="AB38" i="11"/>
  <c r="L113" i="9"/>
  <c r="D172" i="9"/>
  <c r="N113" i="9"/>
  <c r="AC38" i="11"/>
  <c r="R65" i="9"/>
  <c r="T10" i="15"/>
  <c r="Q8" i="15"/>
  <c r="Q7" i="15"/>
  <c r="Q9" i="15"/>
  <c r="Q10" i="15"/>
  <c r="Q6" i="15"/>
  <c r="N11" i="11"/>
  <c r="X66" i="15"/>
  <c r="L70" i="15"/>
  <c r="X69" i="15"/>
  <c r="Q18" i="15"/>
  <c r="L94" i="15"/>
  <c r="L95" i="15"/>
  <c r="L15" i="9"/>
  <c r="T7" i="15"/>
  <c r="X26" i="15"/>
  <c r="W8" i="15"/>
  <c r="X53" i="15"/>
  <c r="I57" i="15"/>
  <c r="M77" i="9"/>
  <c r="I38" i="11"/>
  <c r="N77" i="9"/>
  <c r="J38" i="11"/>
  <c r="X42" i="15"/>
  <c r="X79" i="15"/>
  <c r="X78" i="15"/>
  <c r="O82" i="15"/>
  <c r="O83" i="15"/>
  <c r="I8" i="15"/>
  <c r="M12" i="9"/>
  <c r="L12" i="9"/>
  <c r="W76" i="15"/>
  <c r="W77" i="15"/>
  <c r="T94" i="15"/>
  <c r="T95" i="15"/>
  <c r="X90" i="15"/>
  <c r="Q164" i="9"/>
  <c r="K164" i="9"/>
  <c r="R29" i="9"/>
  <c r="R125" i="9"/>
  <c r="R164" i="9"/>
  <c r="C4" i="15"/>
  <c r="N29" i="9"/>
  <c r="J27" i="11"/>
  <c r="M65" i="9"/>
  <c r="AB27" i="11"/>
  <c r="L65" i="9"/>
  <c r="L41" i="9"/>
  <c r="D166" i="9"/>
  <c r="M41" i="9"/>
  <c r="P27" i="11"/>
  <c r="N41" i="9"/>
  <c r="Q27" i="11"/>
  <c r="L137" i="9"/>
  <c r="D174" i="9"/>
  <c r="M137" i="9"/>
  <c r="P49" i="11"/>
  <c r="L76" i="15"/>
  <c r="L77" i="15"/>
  <c r="N137" i="9"/>
  <c r="Q49" i="11"/>
  <c r="M161" i="9"/>
  <c r="AB49" i="11"/>
  <c r="I10" i="15"/>
  <c r="X93" i="15"/>
  <c r="X44" i="15"/>
  <c r="X37" i="15"/>
  <c r="I39" i="15"/>
  <c r="I40" i="15"/>
  <c r="I9" i="15"/>
  <c r="O33" i="15"/>
  <c r="W57" i="15"/>
  <c r="W58" i="15"/>
  <c r="X48" i="15"/>
  <c r="L45" i="15"/>
  <c r="X41" i="15"/>
  <c r="I33" i="15"/>
  <c r="I7" i="15"/>
  <c r="X29" i="15"/>
  <c r="G14" i="11"/>
  <c r="S19" i="15"/>
  <c r="Q19" i="15"/>
  <c r="T16" i="15"/>
  <c r="T17" i="15"/>
  <c r="T18" i="15"/>
  <c r="T19" i="15"/>
  <c r="T9" i="15"/>
  <c r="X63" i="15"/>
  <c r="L7" i="15"/>
  <c r="W10" i="15"/>
  <c r="X10" i="15"/>
  <c r="W88" i="15"/>
  <c r="X73" i="15"/>
  <c r="T8" i="15"/>
  <c r="X8" i="15"/>
  <c r="W39" i="15"/>
  <c r="W40" i="15"/>
  <c r="X35" i="15"/>
  <c r="X43" i="15"/>
  <c r="O9" i="15"/>
  <c r="O51" i="15"/>
  <c r="X49" i="15"/>
  <c r="W27" i="15"/>
  <c r="W7" i="15"/>
  <c r="X23" i="15"/>
  <c r="I95" i="15"/>
  <c r="X94" i="15"/>
  <c r="X95" i="15"/>
  <c r="N125" i="9"/>
  <c r="J49" i="11"/>
  <c r="D173" i="9"/>
  <c r="I83" i="15"/>
  <c r="M16" i="9"/>
  <c r="L16" i="9"/>
  <c r="K14" i="9"/>
  <c r="G17" i="9"/>
  <c r="X91" i="15"/>
  <c r="AE11" i="11"/>
  <c r="L40" i="15"/>
  <c r="L16" i="15"/>
  <c r="E14" i="11"/>
  <c r="AE8" i="11"/>
  <c r="AE14" i="11"/>
  <c r="Q65" i="15"/>
  <c r="X64" i="15"/>
  <c r="X65" i="15"/>
  <c r="L9" i="15"/>
  <c r="N65" i="9"/>
  <c r="AC27" i="11"/>
  <c r="D168" i="9"/>
  <c r="AK13" i="11"/>
  <c r="L18" i="15"/>
  <c r="X82" i="15"/>
  <c r="X83" i="15"/>
  <c r="L71" i="15"/>
  <c r="X70" i="15"/>
  <c r="X71" i="15"/>
  <c r="X9" i="15"/>
  <c r="O5" i="11"/>
  <c r="I58" i="15"/>
  <c r="X57" i="15"/>
  <c r="X58" i="15"/>
  <c r="Q11" i="15"/>
  <c r="X39" i="15"/>
  <c r="X40" i="15"/>
  <c r="X76" i="15"/>
  <c r="X77" i="15"/>
  <c r="O34" i="15"/>
  <c r="N161" i="9"/>
  <c r="AC49" i="11"/>
  <c r="L17" i="15"/>
  <c r="L19" i="15"/>
  <c r="I34" i="15"/>
  <c r="X33" i="15"/>
  <c r="X34" i="15"/>
  <c r="AK8" i="11"/>
  <c r="AK9" i="11"/>
  <c r="AK12" i="11"/>
  <c r="AI13" i="11"/>
  <c r="X12" i="15"/>
  <c r="T6" i="15"/>
  <c r="N12" i="11"/>
  <c r="T11" i="15"/>
  <c r="W89" i="15"/>
  <c r="X88" i="15"/>
  <c r="X89" i="15"/>
  <c r="K17" i="9"/>
  <c r="L14" i="9"/>
  <c r="M14" i="9"/>
  <c r="W11" i="15"/>
  <c r="W6" i="15"/>
  <c r="N13" i="11"/>
  <c r="O52" i="15"/>
  <c r="X51" i="15"/>
  <c r="X52" i="15"/>
  <c r="L46" i="15"/>
  <c r="X45" i="15"/>
  <c r="X46" i="15"/>
  <c r="W28" i="15"/>
  <c r="W17" i="15"/>
  <c r="X27" i="15"/>
  <c r="X28" i="15"/>
  <c r="O11" i="15"/>
  <c r="O6" i="15"/>
  <c r="N10" i="11"/>
  <c r="L11" i="15"/>
  <c r="L6" i="15"/>
  <c r="N9" i="11"/>
  <c r="I11" i="15"/>
  <c r="X7" i="15"/>
  <c r="I6" i="15"/>
  <c r="N8" i="11"/>
  <c r="O12" i="15"/>
  <c r="O18" i="15"/>
  <c r="O17" i="15"/>
  <c r="Q12" i="15"/>
  <c r="AI10" i="11"/>
  <c r="L12" i="15"/>
  <c r="AK10" i="11"/>
  <c r="AI11" i="11"/>
  <c r="AK11" i="11"/>
  <c r="AK14" i="11"/>
  <c r="I12" i="15"/>
  <c r="AI9" i="11"/>
  <c r="T12" i="15"/>
  <c r="W12" i="15"/>
  <c r="AI12" i="11"/>
  <c r="AI8" i="11"/>
  <c r="AI14" i="11"/>
  <c r="O16" i="15"/>
  <c r="O19" i="15"/>
  <c r="I14" i="11"/>
  <c r="K14" i="11"/>
  <c r="X14" i="15"/>
  <c r="I17" i="15"/>
  <c r="I18" i="15"/>
  <c r="I16" i="15"/>
  <c r="X17" i="15"/>
  <c r="K11" i="11"/>
  <c r="Q14" i="15"/>
  <c r="I11" i="11"/>
  <c r="K8" i="11"/>
  <c r="I14" i="15"/>
  <c r="I8" i="11"/>
  <c r="I12" i="11"/>
  <c r="K12" i="11"/>
  <c r="T14" i="15"/>
  <c r="X16" i="15"/>
  <c r="L17" i="9"/>
  <c r="M17" i="9"/>
  <c r="K9" i="11"/>
  <c r="L14" i="15"/>
  <c r="I9" i="11"/>
  <c r="W16" i="15"/>
  <c r="W18" i="15"/>
  <c r="K10" i="11"/>
  <c r="O14" i="15"/>
  <c r="I10" i="11"/>
  <c r="X11" i="15"/>
  <c r="K13" i="11"/>
  <c r="W14" i="15"/>
  <c r="I13" i="11"/>
  <c r="X18" i="15"/>
  <c r="W19" i="15"/>
  <c r="I19" i="15"/>
  <c r="X19" i="15"/>
</calcChain>
</file>

<file path=xl/sharedStrings.xml><?xml version="1.0" encoding="utf-8"?>
<sst xmlns="http://schemas.openxmlformats.org/spreadsheetml/2006/main" count="771" uniqueCount="338">
  <si>
    <t xml:space="preserve">COMPANY NAME: </t>
  </si>
  <si>
    <t xml:space="preserve">LOCATION: </t>
  </si>
  <si>
    <t>PERFORMED BY:</t>
  </si>
  <si>
    <t>Management</t>
  </si>
  <si>
    <t>Finance</t>
  </si>
  <si>
    <t xml:space="preserve">Sales </t>
  </si>
  <si>
    <t>Risk Management</t>
  </si>
  <si>
    <t>Totals</t>
  </si>
  <si>
    <t>%</t>
  </si>
  <si>
    <t>MANAGEMENT</t>
  </si>
  <si>
    <t>Score</t>
  </si>
  <si>
    <t>FINANCE</t>
  </si>
  <si>
    <t>SALES</t>
  </si>
  <si>
    <t>RISK MANAGEMENT</t>
  </si>
  <si>
    <t>WAREHOUSE</t>
  </si>
  <si>
    <t>Warehouse</t>
  </si>
  <si>
    <t>Total</t>
  </si>
  <si>
    <t>Max</t>
  </si>
  <si>
    <t>Points</t>
  </si>
  <si>
    <t>Question</t>
  </si>
  <si>
    <t>Number of Times Scores Given</t>
  </si>
  <si>
    <t>SUMMARY OF YOUR SCORES</t>
  </si>
  <si>
    <t>3 = Somewhat Agree, Occasionally</t>
  </si>
  <si>
    <t>2 = Somewhat Disagree, Seldom</t>
  </si>
  <si>
    <t>1 = Strongly Disagree, No, or Never</t>
  </si>
  <si>
    <t xml:space="preserve">3. Give each statement a rating from 1 to 4 as follows: </t>
  </si>
  <si>
    <t>5. A person is designated with HR responsibilities.</t>
  </si>
  <si>
    <t>9. A salary range exists for all positions.</t>
  </si>
  <si>
    <t>10. Underachieving employees are counseled and a record is placed in the employee's file.</t>
  </si>
  <si>
    <t>19. The software programs are up to date and sufficient.</t>
  </si>
  <si>
    <t>20. A person is designated with overall IT responsibility.</t>
  </si>
  <si>
    <t>21. The company has competitive fringe benefits.</t>
  </si>
  <si>
    <t>22. Communications within the company are good.</t>
  </si>
  <si>
    <t>23. Suggestions or recommendations are routinely solicited from employees.</t>
  </si>
  <si>
    <t>25. The physical appearance of the company is good and well maintained.</t>
  </si>
  <si>
    <t>28. Goals are established for all key managers and they are held accountable for achieving them.</t>
  </si>
  <si>
    <t>6. Key managers are held responsible for achieving forecasts in their area.</t>
  </si>
  <si>
    <t>8. Financial ratios are calculated every month and reviewed and understood by management.</t>
  </si>
  <si>
    <t>10. Adequate checks and balances are in place to ensure against theft or fraud.</t>
  </si>
  <si>
    <t>15. Company credit cards are monitored and audited regularly.</t>
  </si>
  <si>
    <t>1. The aisles are kept clear and clean.</t>
  </si>
  <si>
    <t>Participant #1's Name:</t>
  </si>
  <si>
    <t>Participant #2's Name:</t>
  </si>
  <si>
    <t>Participant #4's Name:</t>
  </si>
  <si>
    <t>Participant #3's Name:</t>
  </si>
  <si>
    <t>Person1</t>
  </si>
  <si>
    <t>Person2</t>
  </si>
  <si>
    <t>Person3</t>
  </si>
  <si>
    <t>Person4</t>
  </si>
  <si>
    <t>4 = Strongly Agree, Yes, Always, N/A</t>
  </si>
  <si>
    <t xml:space="preserve">      Total Points - All Reviews Performed</t>
  </si>
  <si>
    <t>Total Points - All Reviews Performed</t>
  </si>
  <si>
    <t>Company Name:</t>
  </si>
  <si>
    <t>Company Location:</t>
  </si>
  <si>
    <t>Date:</t>
  </si>
  <si>
    <t>INSTRUCTIONS:</t>
  </si>
  <si>
    <t>INDIVIDUAL ANSWERS</t>
  </si>
  <si>
    <t>Answers Given</t>
  </si>
  <si>
    <t>Stop Here - You Are Done!</t>
  </si>
  <si>
    <t>Thank you for your work!!</t>
  </si>
  <si>
    <t>Excellent</t>
  </si>
  <si>
    <t>Average</t>
  </si>
  <si>
    <t>Rating</t>
  </si>
  <si>
    <t>Color</t>
  </si>
  <si>
    <t>Results Guide</t>
  </si>
  <si>
    <t xml:space="preserve">    Totals</t>
  </si>
  <si>
    <t>TOTALS - All Respondants</t>
  </si>
  <si>
    <t>PERCENTAGES - All Respondants</t>
  </si>
  <si>
    <t>INDIVIDUAL SCORE (Points)</t>
  </si>
  <si>
    <t>INDIVIDUAL SCORE (%)</t>
  </si>
  <si>
    <t>2. Written job descriptions exist for all positions.</t>
  </si>
  <si>
    <t>4. Key management meets regularly to discuss the operations of the business.</t>
  </si>
  <si>
    <t>15. There is a succession plan in place for all key employees.</t>
  </si>
  <si>
    <t>16. The company has key strategic objectives that are determined every year.</t>
  </si>
  <si>
    <t>4. Key managers meet at least monthly to go over financial results versus forecast.</t>
  </si>
  <si>
    <r>
      <rPr>
        <b/>
        <sz val="11"/>
        <color indexed="12"/>
        <rFont val="Calibri"/>
        <family val="2"/>
      </rPr>
      <t>1</t>
    </r>
    <r>
      <rPr>
        <sz val="11"/>
        <color theme="1"/>
        <rFont val="Calibri"/>
        <family val="2"/>
        <scheme val="minor"/>
      </rPr>
      <t xml:space="preserve"> = </t>
    </r>
    <r>
      <rPr>
        <b/>
        <sz val="11"/>
        <color indexed="8"/>
        <rFont val="Calibri"/>
        <family val="2"/>
      </rPr>
      <t>Strongly Disagree, No, or Never</t>
    </r>
  </si>
  <si>
    <r>
      <rPr>
        <b/>
        <sz val="11"/>
        <color indexed="12"/>
        <rFont val="Calibri"/>
        <family val="2"/>
      </rPr>
      <t>2</t>
    </r>
    <r>
      <rPr>
        <sz val="11"/>
        <color theme="1"/>
        <rFont val="Calibri"/>
        <family val="2"/>
        <scheme val="minor"/>
      </rPr>
      <t xml:space="preserve"> = </t>
    </r>
    <r>
      <rPr>
        <b/>
        <sz val="11"/>
        <color indexed="8"/>
        <rFont val="Calibri"/>
        <family val="2"/>
      </rPr>
      <t>Somewhat Disagree, Seldom</t>
    </r>
  </si>
  <si>
    <r>
      <rPr>
        <b/>
        <sz val="11"/>
        <color indexed="12"/>
        <rFont val="Calibri"/>
        <family val="2"/>
      </rPr>
      <t>3</t>
    </r>
    <r>
      <rPr>
        <sz val="11"/>
        <color theme="1"/>
        <rFont val="Calibri"/>
        <family val="2"/>
        <scheme val="minor"/>
      </rPr>
      <t xml:space="preserve"> = </t>
    </r>
    <r>
      <rPr>
        <b/>
        <sz val="11"/>
        <color indexed="8"/>
        <rFont val="Calibri"/>
        <family val="2"/>
      </rPr>
      <t>Somewhat Agree, Occasionally</t>
    </r>
  </si>
  <si>
    <t>Participant #12's Name:</t>
  </si>
  <si>
    <t>Participant #11's Name:</t>
  </si>
  <si>
    <t>Participant #10's Name:</t>
  </si>
  <si>
    <t>Participant #9's Name:</t>
  </si>
  <si>
    <t>Participant #8's Name:</t>
  </si>
  <si>
    <t>Participant #7's Name:</t>
  </si>
  <si>
    <t>Participant #6's Name:</t>
  </si>
  <si>
    <t>Participant #5's Name:</t>
  </si>
  <si>
    <t>SUMMARY - All Respondants</t>
  </si>
  <si>
    <t>DETAIL - Summary of Each Respondant</t>
  </si>
  <si>
    <t>Person5</t>
  </si>
  <si>
    <t>Person6</t>
  </si>
  <si>
    <t>Person7</t>
  </si>
  <si>
    <t>Person8</t>
  </si>
  <si>
    <t>Person9</t>
  </si>
  <si>
    <t>Person10</t>
  </si>
  <si>
    <t>Person11</t>
  </si>
  <si>
    <t>Person12</t>
  </si>
  <si>
    <t>Max Score Per Person (Points)</t>
  </si>
  <si>
    <t>OLD METHOD (but correct):  Total Max Score Possible</t>
  </si>
  <si>
    <t>OLD METHOD (but incorrect methodology):  Average Score Given</t>
  </si>
  <si>
    <t xml:space="preserve">  Average Score (Points)</t>
  </si>
  <si>
    <t xml:space="preserve">  Maximum Score (Points)</t>
  </si>
  <si>
    <t>1. Enter your company name, your name, your location and date above.</t>
  </si>
  <si>
    <r>
      <t xml:space="preserve">2. Click on each of the </t>
    </r>
    <r>
      <rPr>
        <b/>
        <sz val="11"/>
        <color indexed="17"/>
        <rFont val="Calibri"/>
        <family val="2"/>
      </rPr>
      <t>GREEN</t>
    </r>
    <r>
      <rPr>
        <sz val="11"/>
        <color indexed="8"/>
        <rFont val="Calibri"/>
        <family val="2"/>
      </rPr>
      <t xml:space="preserve"> worksheet tabs below (Management, Finance, Sales, Operations, Warehouse, and RiskMgt) and rate each statement.</t>
    </r>
  </si>
  <si>
    <r>
      <t xml:space="preserve">5. Complete each worksheet tab until you reach the </t>
    </r>
    <r>
      <rPr>
        <b/>
        <sz val="11"/>
        <color indexed="10"/>
        <rFont val="Calibri"/>
        <family val="2"/>
      </rPr>
      <t>RED</t>
    </r>
    <r>
      <rPr>
        <sz val="11"/>
        <color theme="1"/>
        <rFont val="Calibri"/>
        <family val="2"/>
        <scheme val="minor"/>
      </rPr>
      <t xml:space="preserve"> "Stop Here" worksheet tab.</t>
    </r>
  </si>
  <si>
    <t>This self-assessment exercise is intended to identify areas where our company can improve in six areas. Please consider each question carefully and give your candid opinion.  Your time and input is greatly appreciated!</t>
  </si>
  <si>
    <t xml:space="preserve">Please Save This Workbook and email it to your CEO. </t>
  </si>
  <si>
    <t xml:space="preserve">DATE (mm/dd/yy): </t>
  </si>
  <si>
    <t>7) Fill in the name of the Participant.</t>
  </si>
  <si>
    <r>
      <t xml:space="preserve">a) For Excel versions 2003 and older:  Select </t>
    </r>
    <r>
      <rPr>
        <b/>
        <sz val="11"/>
        <color indexed="8"/>
        <rFont val="Calibri"/>
        <family val="2"/>
      </rPr>
      <t>Edit</t>
    </r>
    <r>
      <rPr>
        <sz val="11"/>
        <color theme="1"/>
        <rFont val="Calibri"/>
        <family val="2"/>
        <scheme val="minor"/>
      </rPr>
      <t xml:space="preserve"> - </t>
    </r>
    <r>
      <rPr>
        <b/>
        <sz val="11"/>
        <color indexed="8"/>
        <rFont val="Calibri"/>
        <family val="2"/>
      </rPr>
      <t>Paste Special</t>
    </r>
    <r>
      <rPr>
        <sz val="11"/>
        <color theme="1"/>
        <rFont val="Calibri"/>
        <family val="2"/>
        <scheme val="minor"/>
      </rPr>
      <t xml:space="preserve"> - </t>
    </r>
    <r>
      <rPr>
        <b/>
        <sz val="11"/>
        <color indexed="8"/>
        <rFont val="Calibri"/>
        <family val="2"/>
      </rPr>
      <t>Values</t>
    </r>
    <r>
      <rPr>
        <sz val="11"/>
        <color theme="1"/>
        <rFont val="Calibri"/>
        <family val="2"/>
        <scheme val="minor"/>
      </rPr>
      <t xml:space="preserve"> - </t>
    </r>
    <r>
      <rPr>
        <b/>
        <sz val="11"/>
        <color indexed="8"/>
        <rFont val="Calibri"/>
        <family val="2"/>
      </rPr>
      <t>OK</t>
    </r>
  </si>
  <si>
    <t>CEO Instructions - DETAILED</t>
  </si>
  <si>
    <t>CEO Instructions - Summary</t>
  </si>
  <si>
    <r>
      <t xml:space="preserve">2) Print a copy of the </t>
    </r>
    <r>
      <rPr>
        <b/>
        <sz val="11"/>
        <color indexed="17"/>
        <rFont val="Calibri"/>
        <family val="2"/>
      </rPr>
      <t>DARK GREEN</t>
    </r>
    <r>
      <rPr>
        <sz val="11"/>
        <color theme="1"/>
        <rFont val="Calibri"/>
        <family val="2"/>
        <scheme val="minor"/>
      </rPr>
      <t xml:space="preserve"> "</t>
    </r>
    <r>
      <rPr>
        <b/>
        <sz val="11"/>
        <color indexed="8"/>
        <rFont val="Calibri"/>
        <family val="2"/>
      </rPr>
      <t>Start</t>
    </r>
    <r>
      <rPr>
        <sz val="11"/>
        <color theme="1"/>
        <rFont val="Calibri"/>
        <family val="2"/>
        <scheme val="minor"/>
      </rPr>
      <t>" worksheet for each of the Participant Workbooks.</t>
    </r>
  </si>
  <si>
    <t>2) Open the Participant Workbook.</t>
  </si>
  <si>
    <t>8) If you have additional Participant Workbooks, start over at Step 2.</t>
  </si>
  <si>
    <t>24. Employees are allowed to rate their supervisor (upstream evaluation).</t>
  </si>
  <si>
    <t>3. Financial statements are prepared no later than 20 days after the end of the month.</t>
  </si>
  <si>
    <t>13. A person is responsible for bank relations and meets with the banker two to three times  a year.</t>
  </si>
  <si>
    <t>1. The company has established goals for each salesperson.</t>
  </si>
  <si>
    <t>2. The company has good sales leadership.</t>
  </si>
  <si>
    <t>3. The sales plan supports the income statement forecast.</t>
  </si>
  <si>
    <t>7. Draws paid to salespersons are monitored to ensure that they are not in excess of commissions earned.</t>
  </si>
  <si>
    <t>12. The perks given to salespersons are competitive.</t>
  </si>
  <si>
    <t>14. Job costing/profitability analysis is performed on a periodic basis.</t>
  </si>
  <si>
    <t>26. There is a formal program in place for recognizing important employee anniversaries and achievements.</t>
  </si>
  <si>
    <t>2. The company is adequately covered for liability exposures.</t>
  </si>
  <si>
    <t>6. The risk management program is reviewed regularly by counsel and the insurance agent.</t>
  </si>
  <si>
    <t>7. Adequate background checks are conducted on all employees.</t>
  </si>
  <si>
    <t>8. Employment applications specifically ask about arrests, convictions and deferred adjudications.</t>
  </si>
  <si>
    <t>9. No drivers are hired with a previous DUI conviction.</t>
  </si>
  <si>
    <t>10. No employees are hired with a prior record of violent crimes.</t>
  </si>
  <si>
    <t>12. An accident report is filled out for every injury requiring first aid or medical treatment.</t>
  </si>
  <si>
    <t>13. Every accident involving personal injury is investigated and written up.</t>
  </si>
  <si>
    <t>14. Employees are tested for drugs after every accident.</t>
  </si>
  <si>
    <t>30. Computer files and systems are regularly backed up.</t>
  </si>
  <si>
    <t>18. The company is sufficiently diversified so that it is profitable in every quarter.</t>
  </si>
  <si>
    <t>Answers</t>
  </si>
  <si>
    <t>Needed</t>
  </si>
  <si>
    <t>Good</t>
  </si>
  <si>
    <t>Poor</t>
  </si>
  <si>
    <t xml:space="preserve"> &lt; 80%</t>
  </si>
  <si>
    <t>100% - 90%</t>
  </si>
  <si>
    <t xml:space="preserve">  89% - 85%</t>
  </si>
  <si>
    <t xml:space="preserve">  84% - 80%</t>
  </si>
  <si>
    <t>TEST CONDITIONAL FORMATTING CALCULATION:</t>
  </si>
  <si>
    <t>If cell is &gt;=80% but &lt;=84%</t>
  </si>
  <si>
    <t>If cell value is between 0.80 and 0.84</t>
  </si>
  <si>
    <t>Ex 1</t>
  </si>
  <si>
    <t>Ex 2</t>
  </si>
  <si>
    <t>If cell value is between 0.795 and 0.844999999</t>
  </si>
  <si>
    <t xml:space="preserve">     Cell Value    between    x      and      y</t>
  </si>
  <si>
    <r>
      <t xml:space="preserve">For Rule Type:  </t>
    </r>
    <r>
      <rPr>
        <i/>
        <sz val="11"/>
        <rFont val="Calibri"/>
        <family val="2"/>
      </rPr>
      <t>Format only cells that contain</t>
    </r>
  </si>
  <si>
    <t>CONCLUSIONS regarding Conditional Formatting:</t>
  </si>
  <si>
    <t>1. Excel's "between" is inclusive of the numbers listed.</t>
  </si>
  <si>
    <t>2. Excel does NOT round up or down.  The number</t>
  </si>
  <si>
    <t xml:space="preserve">is absolute.  For example 84.99 would not be </t>
  </si>
  <si>
    <t>highlighted if formula shows "between 85 and 89".</t>
  </si>
  <si>
    <t>DO NOT DELETE - INSTRUCTIONAL:</t>
  </si>
  <si>
    <t>0.795</t>
  </si>
  <si>
    <t>0.845</t>
  </si>
  <si>
    <t>0.895</t>
  </si>
  <si>
    <t>BETWEEN</t>
  </si>
  <si>
    <t>&amp;</t>
  </si>
  <si>
    <t>1.0</t>
  </si>
  <si>
    <t xml:space="preserve"> 0.794999999999</t>
  </si>
  <si>
    <t>0.0001</t>
  </si>
  <si>
    <t>0.8949999999999</t>
  </si>
  <si>
    <t>0.8449999999999</t>
  </si>
  <si>
    <t>2013 GRADING SCALE</t>
  </si>
  <si>
    <t>Cell Value    between    =0.79499999999    and    =0.0001</t>
  </si>
  <si>
    <t>Cell Value    between    =0.84499999999    and    =0.795</t>
  </si>
  <si>
    <t>Cell Value    between    =0.89499999999    and    =0.845</t>
  </si>
  <si>
    <t>Cell Value    between    =1                               and    =0.895</t>
  </si>
  <si>
    <t>Format only cells that contain:</t>
  </si>
  <si>
    <r>
      <t xml:space="preserve">b) For Excel versions 2013 and newer:  Select </t>
    </r>
    <r>
      <rPr>
        <b/>
        <sz val="11"/>
        <color indexed="8"/>
        <rFont val="Calibri"/>
        <family val="2"/>
      </rPr>
      <t>Home</t>
    </r>
    <r>
      <rPr>
        <sz val="11"/>
        <color theme="1"/>
        <rFont val="Calibri"/>
        <family val="2"/>
        <scheme val="minor"/>
      </rPr>
      <t xml:space="preserve"> - </t>
    </r>
    <r>
      <rPr>
        <b/>
        <sz val="11"/>
        <color indexed="8"/>
        <rFont val="Calibri"/>
        <family val="2"/>
      </rPr>
      <t>Paste</t>
    </r>
    <r>
      <rPr>
        <sz val="11"/>
        <color theme="1"/>
        <rFont val="Calibri"/>
        <family val="2"/>
        <scheme val="minor"/>
      </rPr>
      <t xml:space="preserve"> - </t>
    </r>
    <r>
      <rPr>
        <b/>
        <sz val="11"/>
        <color indexed="8"/>
        <rFont val="Calibri"/>
        <family val="2"/>
      </rPr>
      <t>Paste Special</t>
    </r>
    <r>
      <rPr>
        <sz val="11"/>
        <color theme="1"/>
        <rFont val="Calibri"/>
        <family val="2"/>
        <scheme val="minor"/>
      </rPr>
      <t xml:space="preserve"> - </t>
    </r>
    <r>
      <rPr>
        <b/>
        <sz val="11"/>
        <color indexed="8"/>
        <rFont val="Calibri"/>
        <family val="2"/>
      </rPr>
      <t>Values</t>
    </r>
    <r>
      <rPr>
        <sz val="11"/>
        <color theme="1"/>
        <rFont val="Calibri"/>
        <family val="2"/>
        <scheme val="minor"/>
      </rPr>
      <t xml:space="preserve"> - </t>
    </r>
    <r>
      <rPr>
        <b/>
        <sz val="11"/>
        <color indexed="8"/>
        <rFont val="Calibri"/>
        <family val="2"/>
      </rPr>
      <t>OK</t>
    </r>
  </si>
  <si>
    <t xml:space="preserve">         100% - 90%</t>
  </si>
  <si>
    <t xml:space="preserve">           89% - 85%</t>
  </si>
  <si>
    <t xml:space="preserve">           84% - 80%</t>
  </si>
  <si>
    <t xml:space="preserve">                    &lt; 80%</t>
  </si>
  <si>
    <t>BUSINESS REVIEW</t>
  </si>
  <si>
    <t>Questions</t>
  </si>
  <si>
    <t>Number of</t>
  </si>
  <si>
    <t>6. After you have answered all the questions, save the workbook and either send the workbook, or a copy of THIS one page, back to your CEO or to whom your company instructs.</t>
  </si>
  <si>
    <r>
      <t xml:space="preserve">7. Note to CEO/Company:  See </t>
    </r>
    <r>
      <rPr>
        <b/>
        <sz val="11"/>
        <color indexed="30"/>
        <rFont val="Calibri"/>
        <family val="2"/>
      </rPr>
      <t>BLUE</t>
    </r>
    <r>
      <rPr>
        <sz val="11"/>
        <color theme="1"/>
        <rFont val="Calibri"/>
        <family val="2"/>
        <scheme val="minor"/>
      </rPr>
      <t xml:space="preserve"> </t>
    </r>
    <r>
      <rPr>
        <b/>
        <sz val="11"/>
        <color indexed="30"/>
        <rFont val="Calibri"/>
        <family val="2"/>
      </rPr>
      <t>"CEO Intructions"</t>
    </r>
    <r>
      <rPr>
        <sz val="11"/>
        <color theme="1"/>
        <rFont val="Calibri"/>
        <family val="2"/>
        <scheme val="minor"/>
      </rPr>
      <t xml:space="preserve"> tab for further instructions. </t>
    </r>
  </si>
  <si>
    <t>Input Screen</t>
  </si>
  <si>
    <t>BUSINESS REVIEW
SUMMARY</t>
  </si>
  <si>
    <t>Avg
Score            Given</t>
  </si>
  <si>
    <t>Avg Score Given</t>
  </si>
  <si>
    <t>BusinessReview Results</t>
  </si>
  <si>
    <t># of Answers 
for Each Score</t>
  </si>
  <si>
    <t>Total Answers Needed:</t>
  </si>
  <si>
    <t>Somewhat Disagree; Seldom</t>
  </si>
  <si>
    <t>Somewhat Agree; Occasionally</t>
  </si>
  <si>
    <t xml:space="preserve">  Cell Value    between    =1                               and    =0.895</t>
  </si>
  <si>
    <t xml:space="preserve">  Cell Value    between    =0.89499999999    and    =0.845</t>
  </si>
  <si>
    <t xml:space="preserve">  Cell Value    between    =0.84499999999    and    =0.795</t>
  </si>
  <si>
    <t xml:space="preserve">  Cell Value    between    =0.79499999999    and    =0.0001</t>
  </si>
  <si>
    <t>Sales</t>
  </si>
  <si>
    <t>Mgmt</t>
  </si>
  <si>
    <t>Ops</t>
  </si>
  <si>
    <t>Whse</t>
  </si>
  <si>
    <t>Risk Mgmt</t>
  </si>
  <si>
    <t>TOTALS
All Areas</t>
  </si>
  <si>
    <t>TOTAL</t>
  </si>
  <si>
    <t xml:space="preserve">Business Review Results                        </t>
  </si>
  <si>
    <t xml:space="preserve">      BUSINESS REVIEW RESULTS</t>
  </si>
  <si>
    <t>CURRENT PARTICIPANT'S RESULTS</t>
  </si>
  <si>
    <t>(Company Name)</t>
  </si>
  <si>
    <t>(Your Location)</t>
  </si>
  <si>
    <t>(Your Name)</t>
  </si>
  <si>
    <t>(Today's Date)</t>
  </si>
  <si>
    <t>1</t>
  </si>
  <si>
    <t>2</t>
  </si>
  <si>
    <t>3</t>
  </si>
  <si>
    <t>4</t>
  </si>
  <si>
    <t>5</t>
  </si>
  <si>
    <t>6</t>
  </si>
  <si>
    <t>7</t>
  </si>
  <si>
    <t>8</t>
  </si>
  <si>
    <t>9</t>
  </si>
  <si>
    <t>10</t>
  </si>
  <si>
    <t>11</t>
  </si>
  <si>
    <t>12</t>
  </si>
  <si>
    <r>
      <t xml:space="preserve">6) </t>
    </r>
    <r>
      <rPr>
        <b/>
        <sz val="11"/>
        <color indexed="8"/>
        <rFont val="Calibri"/>
        <family val="2"/>
      </rPr>
      <t>IMPORTANT NOTE:</t>
    </r>
    <r>
      <rPr>
        <sz val="11"/>
        <color theme="1"/>
        <rFont val="Calibri"/>
        <family val="2"/>
        <scheme val="minor"/>
      </rPr>
      <t xml:space="preserve">  In order to </t>
    </r>
    <r>
      <rPr>
        <u/>
        <sz val="11"/>
        <color indexed="8"/>
        <rFont val="Calibri"/>
        <family val="2"/>
      </rPr>
      <t>properly</t>
    </r>
    <r>
      <rPr>
        <sz val="11"/>
        <color theme="1"/>
        <rFont val="Calibri"/>
        <family val="2"/>
        <scheme val="minor"/>
      </rPr>
      <t xml:space="preserve"> PASTE the Participant's Business Review results, you must use Excel's </t>
    </r>
    <r>
      <rPr>
        <b/>
        <sz val="11"/>
        <color indexed="8"/>
        <rFont val="Calibri"/>
        <family val="2"/>
      </rPr>
      <t>Paste Special</t>
    </r>
    <r>
      <rPr>
        <sz val="11"/>
        <color theme="1"/>
        <rFont val="Calibri"/>
        <family val="2"/>
        <scheme val="minor"/>
      </rPr>
      <t xml:space="preserve"> function to only paste "</t>
    </r>
    <r>
      <rPr>
        <b/>
        <sz val="11"/>
        <color indexed="8"/>
        <rFont val="Calibri"/>
        <family val="2"/>
      </rPr>
      <t>Values</t>
    </r>
    <r>
      <rPr>
        <sz val="11"/>
        <color theme="1"/>
        <rFont val="Calibri"/>
        <family val="2"/>
        <scheme val="minor"/>
      </rPr>
      <t>" to the "</t>
    </r>
    <r>
      <rPr>
        <b/>
        <sz val="11"/>
        <color indexed="8"/>
        <rFont val="Calibri"/>
        <family val="2"/>
      </rPr>
      <t>Enter Results</t>
    </r>
    <r>
      <rPr>
        <sz val="11"/>
        <color theme="1"/>
        <rFont val="Calibri"/>
        <family val="2"/>
        <scheme val="minor"/>
      </rPr>
      <t>" tab. In order to do this, perform one of the following steps based on the version of Excel that you are using:</t>
    </r>
  </si>
  <si>
    <r>
      <t xml:space="preserve">3) In your "MASTER WORKBOOK" select the </t>
    </r>
    <r>
      <rPr>
        <b/>
        <sz val="11"/>
        <color indexed="12"/>
        <rFont val="Calibri"/>
        <family val="2"/>
      </rPr>
      <t>BLUE</t>
    </r>
    <r>
      <rPr>
        <sz val="11"/>
        <color theme="1"/>
        <rFont val="Calibri"/>
        <family val="2"/>
        <scheme val="minor"/>
      </rPr>
      <t xml:space="preserve"> "</t>
    </r>
    <r>
      <rPr>
        <b/>
        <sz val="11"/>
        <color indexed="8"/>
        <rFont val="Calibri"/>
        <family val="2"/>
      </rPr>
      <t>Enter Results</t>
    </r>
    <r>
      <rPr>
        <sz val="11"/>
        <color theme="1"/>
        <rFont val="Calibri"/>
        <family val="2"/>
        <scheme val="minor"/>
      </rPr>
      <t>" tab and enter the Participant's Name and Business Review Results in the yellow-shaded area.</t>
    </r>
  </si>
  <si>
    <r>
      <t xml:space="preserve">B)  For Business Review summaries received back as an </t>
    </r>
    <r>
      <rPr>
        <b/>
        <u/>
        <sz val="11"/>
        <color indexed="8"/>
        <rFont val="Calibri"/>
        <family val="2"/>
      </rPr>
      <t>Excel workbook</t>
    </r>
    <r>
      <rPr>
        <sz val="11"/>
        <color theme="1"/>
        <rFont val="Calibri"/>
        <family val="2"/>
        <scheme val="minor"/>
      </rPr>
      <t>, follow the Quick Method B) below to "input" the Business Review Results into your "MASTER WORKBOOK":</t>
    </r>
  </si>
  <si>
    <r>
      <t xml:space="preserve">A)  For Business Review summaries received back in </t>
    </r>
    <r>
      <rPr>
        <b/>
        <u/>
        <sz val="11"/>
        <color indexed="8"/>
        <rFont val="Calibri"/>
        <family val="2"/>
      </rPr>
      <t>hard copy</t>
    </r>
    <r>
      <rPr>
        <sz val="11"/>
        <color theme="1"/>
        <rFont val="Calibri"/>
        <family val="2"/>
        <scheme val="minor"/>
      </rPr>
      <t xml:space="preserve"> (as printouts of the </t>
    </r>
    <r>
      <rPr>
        <b/>
        <sz val="11"/>
        <color indexed="17"/>
        <rFont val="Calibri"/>
        <family val="2"/>
      </rPr>
      <t>DARK GREEN</t>
    </r>
    <r>
      <rPr>
        <sz val="11"/>
        <color theme="1"/>
        <rFont val="Calibri"/>
        <family val="2"/>
        <scheme val="minor"/>
      </rPr>
      <t xml:space="preserve"> "</t>
    </r>
    <r>
      <rPr>
        <b/>
        <sz val="11"/>
        <color indexed="8"/>
        <rFont val="Calibri"/>
        <family val="2"/>
      </rPr>
      <t>Start</t>
    </r>
    <r>
      <rPr>
        <sz val="11"/>
        <color theme="1"/>
        <rFont val="Calibri"/>
        <family val="2"/>
        <scheme val="minor"/>
      </rPr>
      <t xml:space="preserve">" tab), go to the </t>
    </r>
    <r>
      <rPr>
        <b/>
        <sz val="11"/>
        <color indexed="12"/>
        <rFont val="Calibri"/>
        <family val="2"/>
      </rPr>
      <t>BLUE</t>
    </r>
    <r>
      <rPr>
        <sz val="11"/>
        <color theme="1"/>
        <rFont val="Calibri"/>
        <family val="2"/>
        <scheme val="minor"/>
      </rPr>
      <t xml:space="preserve"> "</t>
    </r>
    <r>
      <rPr>
        <b/>
        <sz val="11"/>
        <color indexed="8"/>
        <rFont val="Calibri"/>
        <family val="2"/>
      </rPr>
      <t>Enter Results</t>
    </r>
    <r>
      <rPr>
        <sz val="11"/>
        <color theme="1"/>
        <rFont val="Calibri"/>
        <family val="2"/>
        <scheme val="minor"/>
      </rPr>
      <t xml:space="preserve">" tab of your "MASTER WORKBOOK" and enter the Participant's Name and Business Review Results in the yellow-shaded area, as per Manual Method A) below. </t>
    </r>
  </si>
  <si>
    <t>Business Review Results</t>
  </si>
  <si>
    <t>2.  To input each of the Business Reviews performed by the Participants into the "MASTER WORKBOOK," follow one of the steps below:</t>
  </si>
  <si>
    <t>1) Open your "MASTER WORKBOOK."</t>
  </si>
  <si>
    <r>
      <t xml:space="preserve">4. Click on the </t>
    </r>
    <r>
      <rPr>
        <b/>
        <sz val="11"/>
        <color indexed="20"/>
        <rFont val="Calibri"/>
        <family val="2"/>
      </rPr>
      <t>PURPLE</t>
    </r>
    <r>
      <rPr>
        <sz val="11"/>
        <color indexed="8"/>
        <rFont val="Calibri"/>
        <family val="2"/>
      </rPr>
      <t xml:space="preserve"> "</t>
    </r>
    <r>
      <rPr>
        <b/>
        <sz val="11"/>
        <color indexed="8"/>
        <rFont val="Calibri"/>
        <family val="2"/>
      </rPr>
      <t>Report - Summary</t>
    </r>
    <r>
      <rPr>
        <sz val="11"/>
        <color indexed="8"/>
        <rFont val="Calibri"/>
        <family val="2"/>
      </rPr>
      <t xml:space="preserve">" &amp; </t>
    </r>
    <r>
      <rPr>
        <b/>
        <sz val="11"/>
        <color indexed="20"/>
        <rFont val="Calibri"/>
        <family val="2"/>
      </rPr>
      <t>PURPLE</t>
    </r>
    <r>
      <rPr>
        <sz val="11"/>
        <color indexed="8"/>
        <rFont val="Calibri"/>
        <family val="2"/>
      </rPr>
      <t xml:space="preserve"> "</t>
    </r>
    <r>
      <rPr>
        <b/>
        <sz val="11"/>
        <color indexed="8"/>
        <rFont val="Calibri"/>
        <family val="2"/>
      </rPr>
      <t>Report - Detail</t>
    </r>
    <r>
      <rPr>
        <sz val="11"/>
        <color indexed="8"/>
        <rFont val="Calibri"/>
        <family val="2"/>
      </rPr>
      <t xml:space="preserve">" tabs.  Print these out and review with your management team and discuss how you can improve your scores. </t>
    </r>
  </si>
  <si>
    <r>
      <t xml:space="preserve">1) With your mouse, click on the </t>
    </r>
    <r>
      <rPr>
        <b/>
        <sz val="11"/>
        <color indexed="17"/>
        <rFont val="Calibri"/>
        <family val="2"/>
      </rPr>
      <t>DARK GREEN</t>
    </r>
    <r>
      <rPr>
        <sz val="11"/>
        <color theme="1"/>
        <rFont val="Calibri"/>
        <family val="2"/>
        <scheme val="minor"/>
      </rPr>
      <t xml:space="preserve"> "</t>
    </r>
    <r>
      <rPr>
        <b/>
        <sz val="11"/>
        <color indexed="8"/>
        <rFont val="Calibri"/>
        <family val="2"/>
      </rPr>
      <t>Start</t>
    </r>
    <r>
      <rPr>
        <sz val="11"/>
        <color theme="1"/>
        <rFont val="Calibri"/>
        <family val="2"/>
        <scheme val="minor"/>
      </rPr>
      <t>" tab in each of the Participant Workbook.</t>
    </r>
  </si>
  <si>
    <t>2.  To input each of the Business Reviews performed by the Participants into the "MASTER WORKBOOK," follow the steps below:</t>
  </si>
  <si>
    <t>1. The company has a current organizational chart with all key reporting relationships.</t>
  </si>
  <si>
    <t>27. There is an annual planning process, which involves all key management.</t>
  </si>
  <si>
    <t>14. The company has a credit policy, which is understood and followed.</t>
  </si>
  <si>
    <r>
      <rPr>
        <b/>
        <sz val="11"/>
        <color indexed="12"/>
        <rFont val="Calibri"/>
        <family val="2"/>
      </rPr>
      <t>4</t>
    </r>
    <r>
      <rPr>
        <sz val="11"/>
        <color theme="1"/>
        <rFont val="Calibri"/>
        <family val="2"/>
        <scheme val="minor"/>
      </rPr>
      <t xml:space="preserve"> = </t>
    </r>
    <r>
      <rPr>
        <b/>
        <sz val="11"/>
        <color indexed="8"/>
        <rFont val="Calibri"/>
        <family val="2"/>
      </rPr>
      <t>Strongly Agree, Yes always,  or Not Applicable</t>
    </r>
  </si>
  <si>
    <t>7. There is a formal orientation program for all new hires.</t>
  </si>
  <si>
    <t>5. Action is taken on a timely basis if forecasts are not being achieved.</t>
  </si>
  <si>
    <t>12. The bank statement is reconciled monthly.</t>
  </si>
  <si>
    <t>5. The company has adequate sales support personnel.</t>
  </si>
  <si>
    <t>15. An advertising and marketing plan is developed on an annual basis.</t>
  </si>
  <si>
    <t xml:space="preserve">16. Salespeople have adequate computing equipment. </t>
  </si>
  <si>
    <t>15. Appropriate employees are randomly tested for drugs.</t>
  </si>
  <si>
    <t xml:space="preserve">1. The company has consulted with an insurance agent experienced in the industry regarding the risks and liabilities as outlined by legal counsel. </t>
  </si>
  <si>
    <t>3. A person is designated as responsible for safety and there is a safety manual.</t>
  </si>
  <si>
    <t>4. Regular safety meetings are held with a written agenda and minutes.</t>
  </si>
  <si>
    <t xml:space="preserve">16. Employees have all signed an authorization to allow drug and alcohol testing on both a random and post-accident basis. </t>
  </si>
  <si>
    <t>18. Gates and fence are well maintained and adequate for security.</t>
  </si>
  <si>
    <t>Production</t>
  </si>
  <si>
    <t xml:space="preserve">1. The aisles are kept clear and clean. </t>
  </si>
  <si>
    <t xml:space="preserve">23. There is a procedure for handling any in-house complaints regarding safety or health issues. </t>
  </si>
  <si>
    <t xml:space="preserve">24. There is an active safety training program with one person designated as responsible for safety. </t>
  </si>
  <si>
    <t xml:space="preserve">25. Adequate medical and first aid equipment is on hand and checked regularly. </t>
  </si>
  <si>
    <t>PRODUCTION</t>
  </si>
  <si>
    <r>
      <t xml:space="preserve">4. </t>
    </r>
    <r>
      <rPr>
        <b/>
        <sz val="11"/>
        <color indexed="8"/>
        <rFont val="Calibri"/>
        <family val="2"/>
      </rPr>
      <t>If you are unsure about the rating for a question</t>
    </r>
    <r>
      <rPr>
        <sz val="11"/>
        <color theme="1"/>
        <rFont val="Calibri"/>
        <family val="2"/>
        <scheme val="minor"/>
      </rPr>
      <t xml:space="preserve">, </t>
    </r>
    <r>
      <rPr>
        <b/>
        <sz val="11"/>
        <color indexed="8"/>
        <rFont val="Calibri"/>
        <family val="2"/>
      </rPr>
      <t xml:space="preserve">contact the person who would know so you can put in the appropriate score. </t>
    </r>
    <r>
      <rPr>
        <b/>
        <u/>
        <sz val="11"/>
        <color indexed="10"/>
        <rFont val="Calibri"/>
        <family val="2"/>
      </rPr>
      <t>Do not leave any questons blank</t>
    </r>
    <r>
      <rPr>
        <u/>
        <sz val="11"/>
        <color indexed="8"/>
        <rFont val="Calibri"/>
        <family val="2"/>
      </rPr>
      <t>.</t>
    </r>
    <r>
      <rPr>
        <sz val="11"/>
        <color theme="1"/>
        <rFont val="Calibri"/>
        <family val="2"/>
        <scheme val="minor"/>
      </rPr>
      <t xml:space="preserve"> A summary of your scores will appear below. </t>
    </r>
  </si>
  <si>
    <t>3. There is an active board of directors, or equivalent, that oversees the affairs of the company.</t>
  </si>
  <si>
    <t xml:space="preserve">6. The company has an employee handbook that is reviewed at least annually. </t>
  </si>
  <si>
    <t>8. Performance reviews are done on every employee at least annually.</t>
  </si>
  <si>
    <t>11. The company has a vision statement, which is posted prominently.</t>
  </si>
  <si>
    <t>12. The company has a mission statement, which is posted prominently.</t>
  </si>
  <si>
    <t>13. The company has core values, which discussed regularly with employees and posted prominently.</t>
  </si>
  <si>
    <t>14. The employees are knowledgeable about the vision, mission and core values.</t>
  </si>
  <si>
    <t>17. The telephone system is up-to-date and sufficient.</t>
  </si>
  <si>
    <t>18. The computer hardware and systems are up-to-date and sufficient.</t>
  </si>
  <si>
    <t>29. Key employees have input to major changes that affect them.</t>
  </si>
  <si>
    <t>1. The company has annual forecasted income statement, balance sheet, cash flow and ratios.</t>
  </si>
  <si>
    <t>2. The company has an annual capital budget.</t>
  </si>
  <si>
    <t>7. A person has responsibility for regularly reviewing and collecting past due accounts receivable.</t>
  </si>
  <si>
    <t>9. Invoices are issued to all customers promptly.</t>
  </si>
  <si>
    <t>11. Operating and financing cash flow are calculated and monitored regularly.</t>
  </si>
  <si>
    <t>16. The accounting staff is knowledgeable, well trained, and sufficient.</t>
  </si>
  <si>
    <t>17. The Balance Sheet is strong, with good liquidity and safety.</t>
  </si>
  <si>
    <t>4. Actual sales versus goals are reported and reviewed by each salesperson regularly.</t>
  </si>
  <si>
    <t>6. Closing ratios are calculated and reviewed with salepersons regularly.</t>
  </si>
  <si>
    <t>8. Expense reports are submitted monthly and reviewed by the appropriate person.</t>
  </si>
  <si>
    <t>9. Salespeople receive regular training on sales techniques.</t>
  </si>
  <si>
    <t>10. Salespeople know the strengths and weaknesses of their primary competitors.</t>
  </si>
  <si>
    <t>11. Salespeople are aware of costs and pricing strategies that will produce good profit margins.</t>
  </si>
  <si>
    <t>13. The sales manager or CEO occasionally participates in sales calls with salepeople.</t>
  </si>
  <si>
    <t xml:space="preserve">17. There is a formal program for gaining referrals from satisfied customers. </t>
  </si>
  <si>
    <t>5. The company has an up-to-date written disaster plan in place that is reviewed with all staff.</t>
  </si>
  <si>
    <t>11. Employees are terminated if caught bringing drugs, alcohol, or weapons onto company premises or vehicles.</t>
  </si>
  <si>
    <t>A) Open two workbooks:  your MASTER WORKBOOK and the Participant Workbook.</t>
  </si>
  <si>
    <t>D) Repeat this process for all Participant Workbooks.</t>
  </si>
  <si>
    <t>Manual Method</t>
  </si>
  <si>
    <t>Quick Method</t>
  </si>
  <si>
    <r>
      <t xml:space="preserve">3) In the Participant Workbook click on the </t>
    </r>
    <r>
      <rPr>
        <b/>
        <sz val="11"/>
        <color indexed="12"/>
        <rFont val="Calibri"/>
        <family val="2"/>
      </rPr>
      <t>BLUE</t>
    </r>
    <r>
      <rPr>
        <sz val="11"/>
        <color theme="1"/>
        <rFont val="Calibri"/>
        <family val="2"/>
        <scheme val="minor"/>
      </rPr>
      <t xml:space="preserve"> </t>
    </r>
    <r>
      <rPr>
        <b/>
        <sz val="11"/>
        <color indexed="8"/>
        <rFont val="Calibri"/>
        <family val="2"/>
      </rPr>
      <t>"Enter Results"</t>
    </r>
    <r>
      <rPr>
        <sz val="11"/>
        <color theme="1"/>
        <rFont val="Calibri"/>
        <family val="2"/>
        <scheme val="minor"/>
      </rPr>
      <t xml:space="preserve"> tab and select non-black shaded area of the "CURRENT PARTICIPANT'S RESULTS" (see note in orange box) and COPY (using the Excel commands, based on your Excel version, </t>
    </r>
    <r>
      <rPr>
        <b/>
        <sz val="11"/>
        <color indexed="8"/>
        <rFont val="Calibri"/>
        <family val="2"/>
      </rPr>
      <t>Home - Copy</t>
    </r>
    <r>
      <rPr>
        <sz val="11"/>
        <color theme="1"/>
        <rFont val="Calibri"/>
        <family val="2"/>
        <scheme val="minor"/>
      </rPr>
      <t xml:space="preserve">  OR  </t>
    </r>
    <r>
      <rPr>
        <b/>
        <sz val="11"/>
        <color indexed="8"/>
        <rFont val="Calibri"/>
        <family val="2"/>
      </rPr>
      <t>Edit - Copy</t>
    </r>
    <r>
      <rPr>
        <sz val="11"/>
        <color theme="1"/>
        <rFont val="Calibri"/>
        <family val="2"/>
        <scheme val="minor"/>
      </rPr>
      <t>).</t>
    </r>
  </si>
  <si>
    <r>
      <t xml:space="preserve">4) Go back to your "MASTER WORKBOOK," and select the </t>
    </r>
    <r>
      <rPr>
        <b/>
        <sz val="11"/>
        <color indexed="12"/>
        <rFont val="Calibri"/>
        <family val="2"/>
      </rPr>
      <t>BLUE</t>
    </r>
    <r>
      <rPr>
        <sz val="11"/>
        <color theme="1"/>
        <rFont val="Calibri"/>
        <family val="2"/>
        <scheme val="minor"/>
      </rPr>
      <t xml:space="preserve"> "</t>
    </r>
    <r>
      <rPr>
        <b/>
        <sz val="11"/>
        <color indexed="8"/>
        <rFont val="Calibri"/>
        <family val="2"/>
      </rPr>
      <t>Enter Results</t>
    </r>
    <r>
      <rPr>
        <sz val="11"/>
        <color theme="1"/>
        <rFont val="Calibri"/>
        <family val="2"/>
        <scheme val="minor"/>
      </rPr>
      <t xml:space="preserve">" tab. </t>
    </r>
  </si>
  <si>
    <r>
      <t xml:space="preserve">3. After entering the Participant's scorings of your Company on the </t>
    </r>
    <r>
      <rPr>
        <b/>
        <sz val="11"/>
        <color indexed="12"/>
        <rFont val="Calibri"/>
        <family val="2"/>
      </rPr>
      <t>BLUE</t>
    </r>
    <r>
      <rPr>
        <sz val="11"/>
        <color theme="1"/>
        <rFont val="Calibri"/>
        <family val="2"/>
        <scheme val="minor"/>
      </rPr>
      <t xml:space="preserve"> "</t>
    </r>
    <r>
      <rPr>
        <b/>
        <sz val="11"/>
        <color indexed="8"/>
        <rFont val="Calibri"/>
        <family val="2"/>
      </rPr>
      <t>Enter Results</t>
    </r>
    <r>
      <rPr>
        <sz val="11"/>
        <color theme="1"/>
        <rFont val="Calibri"/>
        <family val="2"/>
        <scheme val="minor"/>
      </rPr>
      <t>" tab,  make sure that there are no "</t>
    </r>
    <r>
      <rPr>
        <b/>
        <sz val="11"/>
        <color indexed="8"/>
        <rFont val="Calibri"/>
        <family val="2"/>
      </rPr>
      <t>Unanswered Questions.</t>
    </r>
    <r>
      <rPr>
        <sz val="11"/>
        <color theme="1"/>
        <rFont val="Calibri"/>
        <family val="2"/>
        <scheme val="minor"/>
      </rPr>
      <t xml:space="preserve">"  If there are then you or the appropriate person in your company should fill in the answers. If you have </t>
    </r>
    <r>
      <rPr>
        <b/>
        <u/>
        <sz val="11"/>
        <color indexed="8"/>
        <rFont val="Calibri"/>
        <family val="2"/>
      </rPr>
      <t>less than 12</t>
    </r>
    <r>
      <rPr>
        <sz val="11"/>
        <color theme="1"/>
        <rFont val="Calibri"/>
        <family val="2"/>
        <scheme val="minor"/>
      </rPr>
      <t xml:space="preserve"> Participants, you can disregard the error message stating that you have unanswered questions. </t>
    </r>
  </si>
  <si>
    <r>
      <t xml:space="preserve">B) In the Participant Workbook click on the </t>
    </r>
    <r>
      <rPr>
        <b/>
        <sz val="11"/>
        <color indexed="12"/>
        <rFont val="Calibri"/>
        <family val="2"/>
      </rPr>
      <t>BLUE</t>
    </r>
    <r>
      <rPr>
        <b/>
        <sz val="11"/>
        <rFont val="Calibri"/>
        <family val="2"/>
      </rPr>
      <t xml:space="preserve"> "Enter Results" </t>
    </r>
    <r>
      <rPr>
        <sz val="11"/>
        <rFont val="Calibri"/>
        <family val="2"/>
      </rPr>
      <t>tab</t>
    </r>
    <r>
      <rPr>
        <sz val="11"/>
        <color theme="1"/>
        <rFont val="Calibri"/>
        <family val="2"/>
        <scheme val="minor"/>
      </rPr>
      <t xml:space="preserve"> and select non-black shaded area of the "CURRENT PARTICIPANT'S RESULTS" (see note in orange box) and COPY.</t>
    </r>
  </si>
  <si>
    <r>
      <t xml:space="preserve">C) In your "MASTER WORKBOOK" select the </t>
    </r>
    <r>
      <rPr>
        <b/>
        <sz val="11"/>
        <color indexed="12"/>
        <rFont val="Calibri"/>
        <family val="2"/>
      </rPr>
      <t>BLUE</t>
    </r>
    <r>
      <rPr>
        <sz val="11"/>
        <color theme="1"/>
        <rFont val="Calibri"/>
        <family val="2"/>
        <scheme val="minor"/>
      </rPr>
      <t xml:space="preserve"> "</t>
    </r>
    <r>
      <rPr>
        <b/>
        <sz val="11"/>
        <color indexed="8"/>
        <rFont val="Calibri"/>
        <family val="2"/>
      </rPr>
      <t>Enter Results</t>
    </r>
    <r>
      <rPr>
        <sz val="11"/>
        <color theme="1"/>
        <rFont val="Calibri"/>
        <family val="2"/>
        <scheme val="minor"/>
      </rPr>
      <t xml:space="preserve">" tab and paste the results in the appropriate cells for the Participant.  </t>
    </r>
    <r>
      <rPr>
        <b/>
        <i/>
        <sz val="11"/>
        <color indexed="8"/>
        <rFont val="Calibri"/>
        <family val="2"/>
      </rPr>
      <t>IMPORTANT NOTE</t>
    </r>
    <r>
      <rPr>
        <sz val="11"/>
        <color theme="1"/>
        <rFont val="Calibri"/>
        <family val="2"/>
        <scheme val="minor"/>
      </rPr>
      <t xml:space="preserve">: use the </t>
    </r>
    <r>
      <rPr>
        <b/>
        <sz val="11"/>
        <color indexed="10"/>
        <rFont val="Calibri"/>
        <family val="2"/>
      </rPr>
      <t>Paste Special</t>
    </r>
    <r>
      <rPr>
        <sz val="11"/>
        <color theme="1"/>
        <rFont val="Calibri"/>
        <family val="2"/>
        <scheme val="minor"/>
      </rPr>
      <t xml:space="preserve"> function and select "</t>
    </r>
    <r>
      <rPr>
        <b/>
        <sz val="11"/>
        <color indexed="10"/>
        <rFont val="Calibri"/>
        <family val="2"/>
      </rPr>
      <t>Values.</t>
    </r>
    <r>
      <rPr>
        <sz val="11"/>
        <color theme="1"/>
        <rFont val="Calibri"/>
        <family val="2"/>
        <scheme val="minor"/>
      </rPr>
      <t xml:space="preserve">" Otherwise it will paste the formulas which is not what you want. </t>
    </r>
  </si>
  <si>
    <r>
      <t xml:space="preserve">3. After entering the Participant's scorings of your Company on the </t>
    </r>
    <r>
      <rPr>
        <b/>
        <sz val="11"/>
        <color indexed="12"/>
        <rFont val="Calibri"/>
        <family val="2"/>
      </rPr>
      <t>BLUE</t>
    </r>
    <r>
      <rPr>
        <sz val="11"/>
        <color theme="1"/>
        <rFont val="Calibri"/>
        <family val="2"/>
        <scheme val="minor"/>
      </rPr>
      <t xml:space="preserve"> "</t>
    </r>
    <r>
      <rPr>
        <b/>
        <sz val="11"/>
        <color indexed="8"/>
        <rFont val="Calibri"/>
        <family val="2"/>
      </rPr>
      <t>Enter Results</t>
    </r>
    <r>
      <rPr>
        <sz val="11"/>
        <color theme="1"/>
        <rFont val="Calibri"/>
        <family val="2"/>
        <scheme val="minor"/>
      </rPr>
      <t>" tab,  make sure that there are no "</t>
    </r>
    <r>
      <rPr>
        <b/>
        <sz val="11"/>
        <color indexed="8"/>
        <rFont val="Calibri"/>
        <family val="2"/>
      </rPr>
      <t>Unanswered Questions.</t>
    </r>
    <r>
      <rPr>
        <sz val="11"/>
        <color theme="1"/>
        <rFont val="Calibri"/>
        <family val="2"/>
        <scheme val="minor"/>
      </rPr>
      <t xml:space="preserve">"  If there are then you should fill in the answers. If you have </t>
    </r>
    <r>
      <rPr>
        <b/>
        <u/>
        <sz val="11"/>
        <color indexed="8"/>
        <rFont val="Calibri"/>
        <family val="2"/>
      </rPr>
      <t>less than 12</t>
    </r>
    <r>
      <rPr>
        <sz val="11"/>
        <color theme="1"/>
        <rFont val="Calibri"/>
        <family val="2"/>
        <scheme val="minor"/>
      </rPr>
      <t xml:space="preserve"> Participants, you can disregard the error message stating that you have unanswered questions. </t>
    </r>
  </si>
  <si>
    <r>
      <t>5) Select the top left corner cell (</t>
    </r>
    <r>
      <rPr>
        <b/>
        <sz val="11"/>
        <color indexed="8"/>
        <rFont val="Calibri"/>
        <family val="2"/>
      </rPr>
      <t>shaded in yellow</t>
    </r>
    <r>
      <rPr>
        <sz val="11"/>
        <color theme="1"/>
        <rFont val="Calibri"/>
        <family val="2"/>
        <scheme val="minor"/>
      </rPr>
      <t xml:space="preserve">) for the </t>
    </r>
    <r>
      <rPr>
        <u/>
        <sz val="11"/>
        <color indexed="8"/>
        <rFont val="Calibri"/>
        <family val="2"/>
      </rPr>
      <t>next blank Participant's name</t>
    </r>
    <r>
      <rPr>
        <sz val="11"/>
        <color theme="1"/>
        <rFont val="Calibri"/>
        <family val="2"/>
        <scheme val="minor"/>
      </rPr>
      <t>.</t>
    </r>
  </si>
  <si>
    <t>2. Inventory is kept in an orderly fashion and is well secured from theft or shrinkage.</t>
  </si>
  <si>
    <t xml:space="preserve">3. Used material or scrap is disposed of or recycled prompltly if not re-usable. </t>
  </si>
  <si>
    <t xml:space="preserve">4. Employees are required to dress in uniforms or appropriate attire at all times. </t>
  </si>
  <si>
    <t xml:space="preserve">5. Adequate security camaras and alarms are in place and operational. </t>
  </si>
  <si>
    <t>5. Adequate security cameras and alarms are in place and operational.</t>
  </si>
  <si>
    <t xml:space="preserve">6. Production employees are trained regularly in their duties such as operation of equipment or vehicles. </t>
  </si>
  <si>
    <t>6. Warehouse crews are trained regularly in their duties such as operatioin of equipment or vehicles.</t>
  </si>
  <si>
    <t>7. All signage is clean, well maintained and attractive.</t>
  </si>
  <si>
    <t xml:space="preserve">7. All signage is clean, well maintained, and attractive. </t>
  </si>
  <si>
    <t xml:space="preserve">8. The production facility is in good condition and well maintained. </t>
  </si>
  <si>
    <t>8. The warehouse is in good condition and well maintained.</t>
  </si>
  <si>
    <t xml:space="preserve">9. Fire doors and exits are well marked and free of obstructions. </t>
  </si>
  <si>
    <t>10. All warehouse equipment is well maintained and adequate for tasks involved.</t>
  </si>
  <si>
    <t xml:space="preserve">10. All production equipment is well maintained and adequate for the tasks involved. </t>
  </si>
  <si>
    <t xml:space="preserve">11. No smoking signs are prominently placed and enforced. </t>
  </si>
  <si>
    <t xml:space="preserve">12. All flammable or toxic materials and liquid are safely and properly stored. </t>
  </si>
  <si>
    <t xml:space="preserve">13. Fire control equipment is regularly inspected and is adequate. </t>
  </si>
  <si>
    <t>14. Lighting of warehouse and yard is well maintained and adequate.</t>
  </si>
  <si>
    <t xml:space="preserve">14. Lighting of production area is well maintained and adequate. </t>
  </si>
  <si>
    <t>15. Access to warehouse is limited and controlled.</t>
  </si>
  <si>
    <t>16. Warehouse doors are closed when not in use.</t>
  </si>
  <si>
    <t>17. The yard is kept clean and free of trash.</t>
  </si>
  <si>
    <t>15. All work sites are adequate, orderly, and kept clean.</t>
  </si>
  <si>
    <t xml:space="preserve">16. Physical inventory or cycle counts are taken as required. </t>
  </si>
  <si>
    <t xml:space="preserve">17. The OSHA Small Business Checklist is taken at least twice-yearly for compliance. </t>
  </si>
  <si>
    <t xml:space="preserve">18. The local fire department is familiar with the facility and has inspected within the last year. </t>
  </si>
  <si>
    <t xml:space="preserve">19. OSHA Job Safety and Health Protection posters are displayed prominently. </t>
  </si>
  <si>
    <t xml:space="preserve">20. OSHA required Hazard Assessment has been performed and documented. </t>
  </si>
  <si>
    <t xml:space="preserve">21. Appropriate personal protective equipment is available and properly used. </t>
  </si>
  <si>
    <t xml:space="preserve">22. A log is kept of all work-related injuuries or illnesses. </t>
  </si>
  <si>
    <t>(Company Location)</t>
  </si>
  <si>
    <t>(Date)</t>
  </si>
  <si>
    <r>
      <t xml:space="preserve">1. Click on the </t>
    </r>
    <r>
      <rPr>
        <b/>
        <sz val="11"/>
        <color indexed="12"/>
        <rFont val="Calibri"/>
        <family val="2"/>
      </rPr>
      <t>BLUE</t>
    </r>
    <r>
      <rPr>
        <sz val="11"/>
        <color theme="1"/>
        <rFont val="Calibri"/>
        <family val="2"/>
        <scheme val="minor"/>
      </rPr>
      <t xml:space="preserve"> "</t>
    </r>
    <r>
      <rPr>
        <b/>
        <sz val="11"/>
        <color indexed="8"/>
        <rFont val="Calibri"/>
        <family val="2"/>
      </rPr>
      <t>Enter Results</t>
    </r>
    <r>
      <rPr>
        <sz val="11"/>
        <color theme="1"/>
        <rFont val="Calibri"/>
        <family val="2"/>
        <scheme val="minor"/>
      </rPr>
      <t xml:space="preserve">"tab and enter your company's name, your company's location and the general date of the Business Reviews in the format mm/dd/yy.  Save the Workbook using the date of the current Business Review in the file name. Example: "Business Review - 2015-12-31.xls".  </t>
    </r>
    <r>
      <rPr>
        <i/>
        <sz val="11"/>
        <color indexed="8"/>
        <rFont val="Calibri"/>
        <family val="2"/>
      </rPr>
      <t>MAKE THIS YOUR</t>
    </r>
    <r>
      <rPr>
        <b/>
        <i/>
        <sz val="11"/>
        <color indexed="8"/>
        <rFont val="Calibri"/>
        <family val="2"/>
      </rPr>
      <t xml:space="preserve"> "MASTER WORKBOOK" </t>
    </r>
    <r>
      <rPr>
        <i/>
        <sz val="11"/>
        <color indexed="8"/>
        <rFont val="Calibri"/>
        <family val="2"/>
      </rPr>
      <t>for this date.</t>
    </r>
  </si>
  <si>
    <r>
      <t xml:space="preserve">1. Click on the </t>
    </r>
    <r>
      <rPr>
        <b/>
        <sz val="11"/>
        <color indexed="12"/>
        <rFont val="Calibri"/>
        <family val="2"/>
      </rPr>
      <t>BLUE</t>
    </r>
    <r>
      <rPr>
        <sz val="11"/>
        <color theme="1"/>
        <rFont val="Calibri"/>
        <family val="2"/>
        <scheme val="minor"/>
      </rPr>
      <t xml:space="preserve"> "</t>
    </r>
    <r>
      <rPr>
        <b/>
        <sz val="11"/>
        <color indexed="8"/>
        <rFont val="Calibri"/>
        <family val="2"/>
      </rPr>
      <t>Enter Results</t>
    </r>
    <r>
      <rPr>
        <sz val="11"/>
        <color theme="1"/>
        <rFont val="Calibri"/>
        <family val="2"/>
        <scheme val="minor"/>
      </rPr>
      <t xml:space="preserve">" tab and enter your company's name, your company's location and the general date of the Business Reviews in the format mm/dd/yy.  Save the Workbook using the date of the current Business Review in the file name.      Example:  "Business Review - 2013-12-31.xls".  </t>
    </r>
    <r>
      <rPr>
        <i/>
        <sz val="11"/>
        <color indexed="8"/>
        <rFont val="Calibri"/>
        <family val="2"/>
      </rPr>
      <t>MAKE THIS YOUR</t>
    </r>
    <r>
      <rPr>
        <b/>
        <i/>
        <sz val="11"/>
        <color indexed="8"/>
        <rFont val="Calibri"/>
        <family val="2"/>
      </rPr>
      <t xml:space="preserve"> "MASTER WORKBOOK" </t>
    </r>
    <r>
      <rPr>
        <i/>
        <sz val="11"/>
        <color indexed="8"/>
        <rFont val="Calibri"/>
        <family val="2"/>
      </rPr>
      <t>for this date.</t>
    </r>
  </si>
  <si>
    <t>© Horizon Management Services LLC 2016</t>
  </si>
  <si>
    <r>
      <rPr>
        <b/>
        <i/>
        <sz val="8"/>
        <color indexed="8"/>
        <rFont val="Arial"/>
        <family val="2"/>
      </rPr>
      <t>©</t>
    </r>
    <r>
      <rPr>
        <b/>
        <i/>
        <sz val="8"/>
        <color indexed="8"/>
        <rFont val="Calibri"/>
        <family val="2"/>
      </rPr>
      <t xml:space="preserve"> 2016 Horizon Management Services LLC</t>
    </r>
  </si>
  <si>
    <t>IMPORTANT INSTRUCTIONS FOR USING</t>
  </si>
  <si>
    <t>BUSINESS REVIEW DETAIL</t>
  </si>
  <si>
    <t>© 2016 Horizon Management Services LLC</t>
  </si>
  <si>
    <t>Strongly Disagree; No; Never</t>
  </si>
  <si>
    <t>Strongly Agree; Yes; Always; NA</t>
  </si>
  <si>
    <r>
      <rPr>
        <b/>
        <i/>
        <sz val="10"/>
        <color indexed="8"/>
        <rFont val="Arial"/>
        <family val="2"/>
      </rPr>
      <t>©</t>
    </r>
    <r>
      <rPr>
        <b/>
        <i/>
        <sz val="10"/>
        <color indexed="8"/>
        <rFont val="Calibri"/>
        <family val="2"/>
      </rPr>
      <t xml:space="preserve"> 2016 Horizon Management Services LLC</t>
    </r>
  </si>
  <si>
    <t>Version 7.0</t>
  </si>
  <si>
    <r>
      <rPr>
        <b/>
        <u/>
        <sz val="11"/>
        <color rgb="FF0000FF"/>
        <rFont val="Arial"/>
        <family val="2"/>
      </rPr>
      <t>Preview</t>
    </r>
    <r>
      <rPr>
        <sz val="11"/>
        <color theme="1"/>
        <rFont val="Arial"/>
        <family val="2"/>
      </rPr>
      <t xml:space="preserve"> and/or purchase the </t>
    </r>
    <r>
      <rPr>
        <i/>
        <sz val="11"/>
        <color theme="1"/>
        <rFont val="Arial"/>
        <family val="2"/>
      </rPr>
      <t>60 Minute CFO</t>
    </r>
    <r>
      <rPr>
        <sz val="11"/>
        <color theme="1"/>
        <rFont val="Arial"/>
        <family val="2"/>
      </rPr>
      <t>.</t>
    </r>
  </si>
  <si>
    <r>
      <t xml:space="preserve">5. The book </t>
    </r>
    <r>
      <rPr>
        <b/>
        <i/>
        <sz val="11"/>
        <color theme="1"/>
        <rFont val="Calibri"/>
        <family val="2"/>
        <scheme val="minor"/>
      </rPr>
      <t>60 Minute CFO</t>
    </r>
    <r>
      <rPr>
        <sz val="11"/>
        <color theme="1"/>
        <rFont val="Calibri"/>
        <family val="2"/>
        <scheme val="minor"/>
      </rPr>
      <t xml:space="preserve"> by David A. Duryee is a helpful supplement to this workbook and is available for purchase at </t>
    </r>
    <r>
      <rPr>
        <b/>
        <sz val="11"/>
        <color theme="1"/>
        <rFont val="Calibri"/>
        <family val="2"/>
        <scheme val="minor"/>
      </rPr>
      <t>www.60MinuteCFO.com</t>
    </r>
    <r>
      <rPr>
        <sz val="11"/>
        <color theme="1"/>
        <rFont val="Calibri"/>
        <family val="2"/>
        <scheme val="minor"/>
      </rPr>
      <t xml:space="preserve"> or on </t>
    </r>
    <r>
      <rPr>
        <b/>
        <sz val="11"/>
        <color theme="1"/>
        <rFont val="Calibri"/>
        <family val="2"/>
        <scheme val="minor"/>
      </rPr>
      <t>Amazon</t>
    </r>
    <r>
      <rPr>
        <sz val="11"/>
        <color theme="1"/>
        <rFont val="Calibri"/>
        <family val="2"/>
        <scheme val="minor"/>
      </rPr>
      <t xml:space="preserve">. A preview of the book, as well as this software and several others designed to be used with the book, are available for viewing or download at </t>
    </r>
    <r>
      <rPr>
        <b/>
        <u/>
        <sz val="11"/>
        <color rgb="FF0000FF"/>
        <rFont val="Calibri"/>
        <family val="2"/>
        <scheme val="minor"/>
      </rPr>
      <t>www.60MinuteCFO.com</t>
    </r>
    <r>
      <rPr>
        <sz val="11"/>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</si>
</sst>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mm/dd/yy;@"/>
    <numFmt numFmtId="165" formatCode="0.0"/>
    <numFmt numFmtId="166" formatCode="#,##0.0"/>
    <numFmt numFmtId="167" formatCode="#,##0&quot;  points&quot;"/>
    <numFmt numFmtId="168" formatCode="0_);\(0\)"/>
    <numFmt numFmtId="169" formatCode="#,##0&quot;  #4's     &quot;"/>
    <numFmt numFmtId="170" formatCode="#,##0&quot;  #3's     &quot;"/>
    <numFmt numFmtId="171" formatCode="#,##0&quot;  #2's     &quot;"/>
    <numFmt numFmtId="172" formatCode="#,##0&quot;  #1's     &quot;"/>
    <numFmt numFmtId="173" formatCode="0&quot; respondants&quot;"/>
    <numFmt numFmtId="174" formatCode="#,##0;#,##0;&quot;-&quot;;_(@_)"/>
    <numFmt numFmtId="175" formatCode="&quot;#&quot;@"/>
  </numFmts>
  <fonts count="82" x14ac:knownFonts="1">
    <font>
      <sz val="11"/>
      <color theme="1"/>
      <name val="Calibri"/>
      <family val="2"/>
      <scheme val="minor"/>
    </font>
    <font>
      <sz val="11"/>
      <color indexed="8"/>
      <name val="Calibri"/>
      <family val="2"/>
    </font>
    <font>
      <sz val="11"/>
      <color indexed="9"/>
      <name val="Calibri"/>
      <family val="2"/>
    </font>
    <font>
      <b/>
      <sz val="11"/>
      <color indexed="9"/>
      <name val="Calibri"/>
      <family val="2"/>
    </font>
    <font>
      <b/>
      <sz val="11"/>
      <color indexed="8"/>
      <name val="Calibri"/>
      <family val="2"/>
    </font>
    <font>
      <sz val="8"/>
      <name val="Calibri"/>
      <family val="2"/>
    </font>
    <font>
      <sz val="11"/>
      <color indexed="12"/>
      <name val="Calibri"/>
      <family val="2"/>
    </font>
    <font>
      <b/>
      <sz val="14"/>
      <color indexed="8"/>
      <name val="Calibri"/>
      <family val="2"/>
    </font>
    <font>
      <sz val="11"/>
      <name val="Calibri"/>
      <family val="2"/>
    </font>
    <font>
      <b/>
      <sz val="10"/>
      <name val="Calibri"/>
      <family val="2"/>
    </font>
    <font>
      <sz val="10"/>
      <name val="Calibri"/>
      <family val="2"/>
    </font>
    <font>
      <b/>
      <sz val="11"/>
      <name val="Calibri"/>
      <family val="2"/>
    </font>
    <font>
      <i/>
      <sz val="11"/>
      <color indexed="8"/>
      <name val="Calibri"/>
      <family val="2"/>
    </font>
    <font>
      <b/>
      <u/>
      <sz val="11"/>
      <name val="Calibri"/>
      <family val="2"/>
    </font>
    <font>
      <b/>
      <sz val="48"/>
      <color indexed="9"/>
      <name val="Calibri"/>
      <family val="2"/>
    </font>
    <font>
      <sz val="9"/>
      <name val="Calibri"/>
      <family val="2"/>
    </font>
    <font>
      <i/>
      <sz val="10"/>
      <color indexed="8"/>
      <name val="Calibri"/>
      <family val="2"/>
    </font>
    <font>
      <b/>
      <sz val="11"/>
      <color indexed="12"/>
      <name val="Calibri"/>
      <family val="2"/>
    </font>
    <font>
      <sz val="12"/>
      <name val="Calibri"/>
      <family val="2"/>
    </font>
    <font>
      <b/>
      <sz val="12"/>
      <name val="Calibri"/>
      <family val="2"/>
    </font>
    <font>
      <b/>
      <sz val="12"/>
      <color indexed="9"/>
      <name val="Calibri"/>
      <family val="2"/>
    </font>
    <font>
      <sz val="12"/>
      <color indexed="9"/>
      <name val="Calibri"/>
      <family val="2"/>
    </font>
    <font>
      <b/>
      <sz val="6"/>
      <color indexed="8"/>
      <name val="Calibri"/>
      <family val="2"/>
    </font>
    <font>
      <b/>
      <sz val="11"/>
      <color indexed="20"/>
      <name val="Calibri"/>
      <family val="2"/>
    </font>
    <font>
      <b/>
      <u/>
      <sz val="11"/>
      <color indexed="8"/>
      <name val="Calibri"/>
      <family val="2"/>
    </font>
    <font>
      <sz val="18"/>
      <name val="Calibri"/>
      <family val="2"/>
    </font>
    <font>
      <sz val="14"/>
      <name val="Calibri"/>
      <family val="2"/>
    </font>
    <font>
      <b/>
      <sz val="11"/>
      <color indexed="17"/>
      <name val="Calibri"/>
      <family val="2"/>
    </font>
    <font>
      <b/>
      <sz val="11"/>
      <color indexed="10"/>
      <name val="Calibri"/>
      <family val="2"/>
    </font>
    <font>
      <b/>
      <sz val="11"/>
      <color indexed="30"/>
      <name val="Calibri"/>
      <family val="2"/>
    </font>
    <font>
      <u/>
      <sz val="11"/>
      <color indexed="8"/>
      <name val="Calibri"/>
      <family val="2"/>
    </font>
    <font>
      <b/>
      <i/>
      <sz val="11"/>
      <color indexed="8"/>
      <name val="Calibri"/>
      <family val="2"/>
    </font>
    <font>
      <i/>
      <sz val="11"/>
      <name val="Calibri"/>
      <family val="2"/>
    </font>
    <font>
      <u/>
      <sz val="11"/>
      <name val="Calibri"/>
      <family val="2"/>
    </font>
    <font>
      <b/>
      <sz val="18"/>
      <name val="Calibri"/>
      <family val="2"/>
    </font>
    <font>
      <b/>
      <sz val="24"/>
      <name val="Calibri"/>
      <family val="2"/>
    </font>
    <font>
      <b/>
      <i/>
      <sz val="9"/>
      <color indexed="9"/>
      <name val="Calibri"/>
      <family val="2"/>
    </font>
    <font>
      <sz val="6"/>
      <name val="Calibri"/>
      <family val="2"/>
    </font>
    <font>
      <b/>
      <u/>
      <sz val="11"/>
      <color indexed="10"/>
      <name val="Calibri"/>
      <family val="2"/>
    </font>
    <font>
      <sz val="11"/>
      <color theme="0"/>
      <name val="Calibri"/>
      <family val="2"/>
      <scheme val="minor"/>
    </font>
    <font>
      <b/>
      <sz val="11"/>
      <color theme="0"/>
      <name val="Calibri"/>
      <family val="2"/>
      <scheme val="minor"/>
    </font>
    <font>
      <b/>
      <sz val="11"/>
      <color theme="1"/>
      <name val="Calibri"/>
      <family val="2"/>
      <scheme val="minor"/>
    </font>
    <font>
      <sz val="11"/>
      <color rgb="FF0000FF"/>
      <name val="Calibri"/>
      <family val="2"/>
      <scheme val="minor"/>
    </font>
    <font>
      <b/>
      <sz val="11"/>
      <color theme="0"/>
      <name val="Calibri"/>
      <family val="2"/>
    </font>
    <font>
      <b/>
      <sz val="14"/>
      <color theme="1"/>
      <name val="Calibri"/>
      <family val="2"/>
      <scheme val="minor"/>
    </font>
    <font>
      <u/>
      <sz val="11"/>
      <color theme="1"/>
      <name val="Calibri"/>
      <family val="2"/>
      <scheme val="minor"/>
    </font>
    <font>
      <sz val="11"/>
      <color theme="0"/>
      <name val="Calibri"/>
      <family val="2"/>
    </font>
    <font>
      <i/>
      <sz val="11"/>
      <color theme="1"/>
      <name val="Calibri"/>
      <family val="2"/>
      <scheme val="minor"/>
    </font>
    <font>
      <sz val="11"/>
      <name val="Calibri"/>
      <family val="2"/>
      <scheme val="minor"/>
    </font>
    <font>
      <b/>
      <sz val="24"/>
      <name val="Calibri"/>
      <family val="2"/>
      <scheme val="minor"/>
    </font>
    <font>
      <b/>
      <u/>
      <sz val="11"/>
      <color theme="1"/>
      <name val="Calibri"/>
      <family val="2"/>
      <scheme val="minor"/>
    </font>
    <font>
      <sz val="6"/>
      <color theme="1"/>
      <name val="Calibri"/>
      <family val="2"/>
      <scheme val="minor"/>
    </font>
    <font>
      <b/>
      <sz val="18"/>
      <color theme="1"/>
      <name val="Calibri"/>
      <family val="2"/>
      <scheme val="minor"/>
    </font>
    <font>
      <sz val="10"/>
      <color theme="1"/>
      <name val="Calibri"/>
      <family val="2"/>
      <scheme val="minor"/>
    </font>
    <font>
      <sz val="18"/>
      <color theme="1"/>
      <name val="Calibri"/>
      <family val="2"/>
      <scheme val="minor"/>
    </font>
    <font>
      <sz val="11"/>
      <color theme="1"/>
      <name val="Calibri"/>
      <family val="2"/>
    </font>
    <font>
      <i/>
      <sz val="9"/>
      <color theme="1"/>
      <name val="Calibri"/>
      <family val="2"/>
      <scheme val="minor"/>
    </font>
    <font>
      <sz val="14"/>
      <color theme="1"/>
      <name val="Calibri"/>
      <family val="2"/>
      <scheme val="minor"/>
    </font>
    <font>
      <sz val="12"/>
      <name val="Times New Roman"/>
      <family val="1"/>
    </font>
    <font>
      <i/>
      <sz val="6"/>
      <name val="Arial"/>
      <family val="2"/>
    </font>
    <font>
      <sz val="9"/>
      <color theme="1"/>
      <name val="Calibri"/>
      <family val="2"/>
      <scheme val="minor"/>
    </font>
    <font>
      <b/>
      <i/>
      <sz val="8"/>
      <color indexed="8"/>
      <name val="Calibri"/>
      <family val="2"/>
    </font>
    <font>
      <b/>
      <i/>
      <sz val="8"/>
      <color indexed="8"/>
      <name val="Arial"/>
      <family val="2"/>
    </font>
    <font>
      <b/>
      <sz val="14"/>
      <name val="Arial"/>
      <family val="2"/>
    </font>
    <font>
      <b/>
      <i/>
      <sz val="9"/>
      <name val="Calibri"/>
      <family val="2"/>
    </font>
    <font>
      <b/>
      <sz val="12"/>
      <color theme="0"/>
      <name val="Arial"/>
      <family val="2"/>
    </font>
    <font>
      <sz val="12"/>
      <color theme="1"/>
      <name val="Calibri"/>
      <family val="2"/>
      <scheme val="minor"/>
    </font>
    <font>
      <b/>
      <sz val="14"/>
      <name val="Calibri"/>
      <family val="2"/>
    </font>
    <font>
      <sz val="7"/>
      <name val="Calibri"/>
      <family val="2"/>
    </font>
    <font>
      <sz val="7"/>
      <color theme="1"/>
      <name val="Calibri"/>
      <family val="2"/>
      <scheme val="minor"/>
    </font>
    <font>
      <sz val="11"/>
      <color theme="1"/>
      <name val="Arial"/>
      <family val="2"/>
    </font>
    <font>
      <sz val="11"/>
      <color theme="1"/>
      <name val="Calibri"/>
      <family val="2"/>
      <scheme val="minor"/>
    </font>
    <font>
      <b/>
      <i/>
      <sz val="10"/>
      <color indexed="8"/>
      <name val="Calibri"/>
      <family val="2"/>
    </font>
    <font>
      <b/>
      <i/>
      <sz val="10"/>
      <color indexed="8"/>
      <name val="Arial"/>
      <family val="2"/>
    </font>
    <font>
      <b/>
      <sz val="9"/>
      <color theme="1"/>
      <name val="Calibri"/>
      <family val="2"/>
      <scheme val="minor"/>
    </font>
    <font>
      <b/>
      <sz val="16"/>
      <color indexed="8"/>
      <name val="Calibri"/>
      <family val="2"/>
    </font>
    <font>
      <sz val="16"/>
      <color theme="1"/>
      <name val="Calibri"/>
      <family val="2"/>
      <scheme val="minor"/>
    </font>
    <font>
      <b/>
      <sz val="16"/>
      <color theme="0"/>
      <name val="Calibri"/>
      <family val="2"/>
    </font>
    <font>
      <b/>
      <i/>
      <sz val="11"/>
      <color theme="1"/>
      <name val="Calibri"/>
      <family val="2"/>
      <scheme val="minor"/>
    </font>
    <font>
      <b/>
      <u/>
      <sz val="11"/>
      <color rgb="FF0000FF"/>
      <name val="Calibri"/>
      <family val="2"/>
      <scheme val="minor"/>
    </font>
    <font>
      <i/>
      <sz val="11"/>
      <color theme="1"/>
      <name val="Arial"/>
      <family val="2"/>
    </font>
    <font>
      <b/>
      <u/>
      <sz val="11"/>
      <color rgb="FF0000FF"/>
      <name val="Arial"/>
      <family val="2"/>
    </font>
  </fonts>
  <fills count="26">
    <fill>
      <patternFill patternType="none"/>
    </fill>
    <fill>
      <patternFill patternType="gray125"/>
    </fill>
    <fill>
      <patternFill patternType="solid">
        <fgColor indexed="22"/>
        <bgColor indexed="64"/>
      </patternFill>
    </fill>
    <fill>
      <patternFill patternType="solid">
        <fgColor indexed="10"/>
        <bgColor indexed="64"/>
      </patternFill>
    </fill>
    <fill>
      <patternFill patternType="solid">
        <fgColor indexed="43"/>
        <bgColor indexed="64"/>
      </patternFill>
    </fill>
    <fill>
      <patternFill patternType="solid">
        <fgColor indexed="42"/>
        <bgColor indexed="64"/>
      </patternFill>
    </fill>
    <fill>
      <patternFill patternType="solid">
        <fgColor indexed="20"/>
        <bgColor indexed="64"/>
      </patternFill>
    </fill>
    <fill>
      <patternFill patternType="solid">
        <fgColor indexed="11"/>
        <bgColor indexed="64"/>
      </patternFill>
    </fill>
    <fill>
      <patternFill patternType="solid">
        <fgColor indexed="40"/>
        <bgColor indexed="64"/>
      </patternFill>
    </fill>
    <fill>
      <patternFill patternType="solid">
        <fgColor indexed="63"/>
        <bgColor indexed="64"/>
      </patternFill>
    </fill>
    <fill>
      <patternFill patternType="solid">
        <fgColor indexed="13"/>
        <bgColor indexed="64"/>
      </patternFill>
    </fill>
    <fill>
      <patternFill patternType="solid">
        <fgColor rgb="FF00CCFF"/>
        <bgColor indexed="64"/>
      </patternFill>
    </fill>
    <fill>
      <patternFill patternType="solid">
        <fgColor theme="1"/>
        <bgColor indexed="64"/>
      </patternFill>
    </fill>
    <fill>
      <patternFill patternType="solid">
        <fgColor rgb="FFFFFFCC"/>
        <bgColor indexed="64"/>
      </patternFill>
    </fill>
    <fill>
      <patternFill patternType="solid">
        <fgColor theme="3" tint="0.39994506668294322"/>
        <bgColor indexed="64"/>
      </patternFill>
    </fill>
    <fill>
      <patternFill patternType="solid">
        <fgColor rgb="FFFFFF00"/>
        <bgColor indexed="64"/>
      </patternFill>
    </fill>
    <fill>
      <patternFill patternType="solid">
        <fgColor rgb="FFFFC000"/>
        <bgColor indexed="64"/>
      </patternFill>
    </fill>
    <fill>
      <patternFill patternType="solid">
        <fgColor rgb="FFFF00FF"/>
        <bgColor indexed="64"/>
      </patternFill>
    </fill>
    <fill>
      <patternFill patternType="solid">
        <fgColor theme="4" tint="0.79998168889431442"/>
        <bgColor indexed="64"/>
      </patternFill>
    </fill>
    <fill>
      <patternFill patternType="solid">
        <fgColor theme="0" tint="-0.499984740745262"/>
        <bgColor indexed="64"/>
      </patternFill>
    </fill>
    <fill>
      <patternFill patternType="solid">
        <fgColor rgb="FFCCFFCC"/>
        <bgColor indexed="64"/>
      </patternFill>
    </fill>
    <fill>
      <patternFill patternType="solid">
        <fgColor theme="1" tint="0.34998626667073579"/>
        <bgColor indexed="64"/>
      </patternFill>
    </fill>
    <fill>
      <patternFill patternType="solid">
        <fgColor rgb="FFFFFF99"/>
        <bgColor indexed="64"/>
      </patternFill>
    </fill>
    <fill>
      <patternFill patternType="solid">
        <fgColor theme="0" tint="-0.14999847407452621"/>
        <bgColor indexed="64"/>
      </patternFill>
    </fill>
    <fill>
      <patternFill patternType="solid">
        <fgColor rgb="FFE6E6E7"/>
        <bgColor indexed="64"/>
      </patternFill>
    </fill>
    <fill>
      <patternFill patternType="solid">
        <fgColor theme="2" tint="-0.499984740745262"/>
        <bgColor indexed="64"/>
      </patternFill>
    </fill>
  </fills>
  <borders count="164">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medium">
        <color indexed="64"/>
      </top>
      <bottom style="double">
        <color indexed="64"/>
      </bottom>
      <diagonal/>
    </border>
    <border>
      <left style="thin">
        <color indexed="64"/>
      </left>
      <right/>
      <top/>
      <bottom/>
      <diagonal/>
    </border>
    <border>
      <left style="thick">
        <color indexed="64"/>
      </left>
      <right style="hair">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top/>
      <bottom style="medium">
        <color indexed="9"/>
      </bottom>
      <diagonal/>
    </border>
    <border>
      <left/>
      <right/>
      <top style="medium">
        <color indexed="9"/>
      </top>
      <bottom style="medium">
        <color indexed="9"/>
      </bottom>
      <diagonal/>
    </border>
    <border>
      <left style="medium">
        <color indexed="64"/>
      </left>
      <right/>
      <top/>
      <bottom style="medium">
        <color indexed="64"/>
      </bottom>
      <diagonal/>
    </border>
    <border>
      <left/>
      <right/>
      <top/>
      <bottom style="medium">
        <color indexed="64"/>
      </bottom>
      <diagonal/>
    </border>
    <border>
      <left/>
      <right/>
      <top style="medium">
        <color indexed="9"/>
      </top>
      <bottom style="medium">
        <color indexed="64"/>
      </bottom>
      <diagonal/>
    </border>
    <border>
      <left style="thick">
        <color indexed="64"/>
      </left>
      <right/>
      <top/>
      <bottom/>
      <diagonal/>
    </border>
    <border>
      <left/>
      <right style="thin">
        <color indexed="64"/>
      </right>
      <top/>
      <bottom/>
      <diagonal/>
    </border>
    <border>
      <left style="hair">
        <color indexed="64"/>
      </left>
      <right/>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thick">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ck">
        <color indexed="64"/>
      </right>
      <top style="hair">
        <color indexed="64"/>
      </top>
      <bottom style="hair">
        <color indexed="64"/>
      </bottom>
      <diagonal/>
    </border>
    <border>
      <left style="hair">
        <color indexed="64"/>
      </left>
      <right/>
      <top style="thick">
        <color indexed="64"/>
      </top>
      <bottom style="hair">
        <color indexed="64"/>
      </bottom>
      <diagonal/>
    </border>
    <border>
      <left/>
      <right style="hair">
        <color indexed="64"/>
      </right>
      <top/>
      <bottom/>
      <diagonal/>
    </border>
    <border>
      <left style="thick">
        <color indexed="64"/>
      </left>
      <right/>
      <top/>
      <bottom style="hair">
        <color indexed="64"/>
      </bottom>
      <diagonal/>
    </border>
    <border>
      <left/>
      <right/>
      <top/>
      <bottom style="hair">
        <color indexed="64"/>
      </bottom>
      <diagonal/>
    </border>
    <border>
      <left style="hair">
        <color indexed="64"/>
      </left>
      <right/>
      <top style="hair">
        <color indexed="64"/>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ck">
        <color indexed="64"/>
      </right>
      <top style="hair">
        <color indexed="64"/>
      </top>
      <bottom style="thick">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ck">
        <color indexed="64"/>
      </right>
      <top style="thin">
        <color indexed="64"/>
      </top>
      <bottom style="hair">
        <color indexed="64"/>
      </bottom>
      <diagonal/>
    </border>
    <border>
      <left style="hair">
        <color indexed="64"/>
      </left>
      <right style="thick">
        <color indexed="64"/>
      </right>
      <top style="hair">
        <color indexed="64"/>
      </top>
      <bottom style="hair">
        <color indexed="64"/>
      </bottom>
      <diagonal/>
    </border>
    <border>
      <left style="thick">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ck">
        <color indexed="64"/>
      </right>
      <top style="thick">
        <color indexed="64"/>
      </top>
      <bottom style="hair">
        <color indexed="64"/>
      </bottom>
      <diagonal/>
    </border>
    <border>
      <left style="thin">
        <color indexed="64"/>
      </left>
      <right style="thick">
        <color indexed="64"/>
      </right>
      <top style="hair">
        <color indexed="64"/>
      </top>
      <bottom/>
      <diagonal/>
    </border>
    <border>
      <left style="thick">
        <color indexed="64"/>
      </left>
      <right/>
      <top style="thin">
        <color indexed="64"/>
      </top>
      <bottom/>
      <diagonal/>
    </border>
    <border>
      <left/>
      <right/>
      <top style="thin">
        <color indexed="64"/>
      </top>
      <bottom/>
      <diagonal/>
    </border>
    <border>
      <left style="thick">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ck">
        <color indexed="64"/>
      </left>
      <right style="thin">
        <color indexed="64"/>
      </right>
      <top style="thin">
        <color indexed="64"/>
      </top>
      <bottom style="thin">
        <color indexed="64"/>
      </bottom>
      <diagonal/>
    </border>
    <border>
      <left style="thick">
        <color indexed="64"/>
      </left>
      <right/>
      <top style="hair">
        <color indexed="64"/>
      </top>
      <bottom/>
      <diagonal/>
    </border>
    <border>
      <left/>
      <right/>
      <top style="hair">
        <color indexed="64"/>
      </top>
      <bottom/>
      <diagonal/>
    </border>
    <border>
      <left style="thin">
        <color indexed="64"/>
      </left>
      <right style="thin">
        <color indexed="64"/>
      </right>
      <top/>
      <bottom/>
      <diagonal/>
    </border>
    <border>
      <left/>
      <right/>
      <top style="thin">
        <color indexed="64"/>
      </top>
      <bottom style="thin">
        <color indexed="64"/>
      </bottom>
      <diagonal/>
    </border>
    <border>
      <left style="hair">
        <color indexed="64"/>
      </left>
      <right style="thin">
        <color indexed="64"/>
      </right>
      <top style="thin">
        <color indexed="64"/>
      </top>
      <bottom/>
      <diagonal/>
    </border>
    <border>
      <left style="thin">
        <color indexed="64"/>
      </left>
      <right style="thick">
        <color indexed="64"/>
      </right>
      <top style="thin">
        <color indexed="64"/>
      </top>
      <bottom/>
      <diagonal/>
    </border>
    <border>
      <left style="hair">
        <color indexed="64"/>
      </left>
      <right/>
      <top style="thin">
        <color indexed="64"/>
      </top>
      <bottom style="hair">
        <color indexed="64"/>
      </bottom>
      <diagonal/>
    </border>
    <border>
      <left style="thin">
        <color indexed="64"/>
      </left>
      <right style="thick">
        <color indexed="64"/>
      </right>
      <top style="thin">
        <color indexed="64"/>
      </top>
      <bottom style="hair">
        <color indexed="64"/>
      </bottom>
      <diagonal/>
    </border>
    <border>
      <left style="hair">
        <color indexed="64"/>
      </left>
      <right/>
      <top style="hair">
        <color indexed="64"/>
      </top>
      <bottom style="thin">
        <color indexed="64"/>
      </bottom>
      <diagonal/>
    </border>
    <border>
      <left style="thin">
        <color indexed="64"/>
      </left>
      <right/>
      <top/>
      <bottom style="medium">
        <color indexed="9"/>
      </bottom>
      <diagonal/>
    </border>
    <border>
      <left style="thin">
        <color indexed="64"/>
      </left>
      <right/>
      <top style="medium">
        <color indexed="9"/>
      </top>
      <bottom style="medium">
        <color indexed="9"/>
      </bottom>
      <diagonal/>
    </border>
    <border>
      <left style="thin">
        <color indexed="64"/>
      </left>
      <right/>
      <top style="medium">
        <color indexed="9"/>
      </top>
      <bottom style="thin">
        <color indexed="64"/>
      </bottom>
      <diagonal/>
    </border>
    <border>
      <left style="hair">
        <color indexed="64"/>
      </left>
      <right style="hair">
        <color indexed="64"/>
      </right>
      <top style="hair">
        <color indexed="64"/>
      </top>
      <bottom style="thick">
        <color indexed="64"/>
      </bottom>
      <diagonal/>
    </border>
    <border>
      <left style="hair">
        <color indexed="64"/>
      </left>
      <right style="thick">
        <color indexed="64"/>
      </right>
      <top style="hair">
        <color indexed="64"/>
      </top>
      <bottom style="thin">
        <color indexed="64"/>
      </bottom>
      <diagonal/>
    </border>
    <border>
      <left style="hair">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hair">
        <color indexed="64"/>
      </left>
      <right/>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style="thin">
        <color indexed="64"/>
      </left>
      <right style="thick">
        <color indexed="64"/>
      </right>
      <top/>
      <bottom/>
      <diagonal/>
    </border>
    <border>
      <left style="hair">
        <color indexed="64"/>
      </left>
      <right/>
      <top style="thick">
        <color indexed="64"/>
      </top>
      <bottom/>
      <diagonal/>
    </border>
    <border>
      <left style="hair">
        <color indexed="64"/>
      </left>
      <right style="hair">
        <color indexed="64"/>
      </right>
      <top style="double">
        <color indexed="64"/>
      </top>
      <bottom style="hair">
        <color indexed="64"/>
      </bottom>
      <diagonal/>
    </border>
    <border>
      <left style="thick">
        <color indexed="64"/>
      </left>
      <right style="hair">
        <color indexed="64"/>
      </right>
      <top style="thin">
        <color indexed="64"/>
      </top>
      <bottom style="hair">
        <color indexed="64"/>
      </bottom>
      <diagonal/>
    </border>
    <border>
      <left style="thick">
        <color indexed="64"/>
      </left>
      <right style="hair">
        <color indexed="64"/>
      </right>
      <top style="hair">
        <color indexed="64"/>
      </top>
      <bottom style="hair">
        <color indexed="64"/>
      </bottom>
      <diagonal/>
    </border>
    <border>
      <left style="hair">
        <color indexed="64"/>
      </left>
      <right style="hair">
        <color indexed="64"/>
      </right>
      <top/>
      <bottom/>
      <diagonal/>
    </border>
    <border>
      <left/>
      <right style="hair">
        <color indexed="64"/>
      </right>
      <top style="thin">
        <color indexed="64"/>
      </top>
      <bottom style="thin">
        <color indexed="64"/>
      </bottom>
      <diagonal/>
    </border>
    <border>
      <left style="hair">
        <color indexed="64"/>
      </left>
      <right/>
      <top/>
      <bottom style="thick">
        <color indexed="64"/>
      </bottom>
      <diagonal/>
    </border>
    <border>
      <left/>
      <right style="hair">
        <color indexed="64"/>
      </right>
      <top/>
      <bottom style="thick">
        <color indexed="64"/>
      </bottom>
      <diagonal/>
    </border>
    <border>
      <left/>
      <right style="thick">
        <color indexed="64"/>
      </right>
      <top/>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style="thick">
        <color indexed="64"/>
      </right>
      <top style="thick">
        <color indexed="64"/>
      </top>
      <bottom/>
      <diagonal/>
    </border>
    <border>
      <left style="thin">
        <color indexed="64"/>
      </left>
      <right style="thick">
        <color indexed="64"/>
      </right>
      <top/>
      <bottom style="hair">
        <color indexed="64"/>
      </bottom>
      <diagonal/>
    </border>
    <border>
      <left/>
      <right style="thick">
        <color indexed="64"/>
      </right>
      <top/>
      <bottom style="thick">
        <color indexed="64"/>
      </bottom>
      <diagonal/>
    </border>
    <border>
      <left/>
      <right/>
      <top style="hair">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style="thin">
        <color indexed="64"/>
      </top>
      <bottom style="hair">
        <color indexed="64"/>
      </bottom>
      <diagonal/>
    </border>
    <border>
      <left style="thick">
        <color indexed="64"/>
      </left>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right style="thick">
        <color indexed="64"/>
      </right>
      <top style="thin">
        <color indexed="64"/>
      </top>
      <bottom style="thin">
        <color indexed="64"/>
      </bottom>
      <diagonal/>
    </border>
    <border>
      <left style="hair">
        <color indexed="64"/>
      </left>
      <right style="thick">
        <color indexed="64"/>
      </right>
      <top style="thin">
        <color indexed="64"/>
      </top>
      <bottom/>
      <diagonal/>
    </border>
    <border>
      <left style="hair">
        <color indexed="64"/>
      </left>
      <right style="thick">
        <color indexed="64"/>
      </right>
      <top/>
      <bottom style="thin">
        <color indexed="64"/>
      </bottom>
      <diagonal/>
    </border>
    <border>
      <left/>
      <right style="thick">
        <color indexed="64"/>
      </right>
      <top style="thin">
        <color indexed="64"/>
      </top>
      <bottom style="hair">
        <color indexed="64"/>
      </bottom>
      <diagonal/>
    </border>
    <border>
      <left/>
      <right style="thick">
        <color indexed="64"/>
      </right>
      <top style="hair">
        <color indexed="64"/>
      </top>
      <bottom style="hair">
        <color indexed="64"/>
      </bottom>
      <diagonal/>
    </border>
    <border>
      <left/>
      <right style="thick">
        <color indexed="64"/>
      </right>
      <top style="thin">
        <color indexed="64"/>
      </top>
      <bottom/>
      <diagonal/>
    </border>
    <border>
      <left/>
      <right style="thick">
        <color indexed="64"/>
      </right>
      <top style="hair">
        <color indexed="64"/>
      </top>
      <bottom style="thin">
        <color indexed="64"/>
      </bottom>
      <diagonal/>
    </border>
    <border>
      <left/>
      <right style="hair">
        <color indexed="64"/>
      </right>
      <top style="thick">
        <color indexed="64"/>
      </top>
      <bottom/>
      <diagonal/>
    </border>
    <border>
      <left style="thin">
        <color indexed="64"/>
      </left>
      <right/>
      <top style="hair">
        <color indexed="64"/>
      </top>
      <bottom/>
      <diagonal/>
    </border>
    <border>
      <left/>
      <right/>
      <top style="thick">
        <color indexed="64"/>
      </top>
      <bottom style="hair">
        <color indexed="64"/>
      </bottom>
      <diagonal/>
    </border>
    <border>
      <left/>
      <right style="hair">
        <color indexed="64"/>
      </right>
      <top style="thick">
        <color indexed="64"/>
      </top>
      <bottom style="hair">
        <color indexed="64"/>
      </bottom>
      <diagonal/>
    </border>
    <border>
      <left style="thin">
        <color indexed="64"/>
      </left>
      <right style="hair">
        <color indexed="64"/>
      </right>
      <top style="hair">
        <color indexed="64"/>
      </top>
      <bottom style="thick">
        <color indexed="64"/>
      </bottom>
      <diagonal/>
    </border>
    <border>
      <left/>
      <right style="hair">
        <color indexed="64"/>
      </right>
      <top style="hair">
        <color indexed="64"/>
      </top>
      <bottom style="thick">
        <color indexed="64"/>
      </bottom>
      <diagonal/>
    </border>
    <border>
      <left style="thin">
        <color indexed="64"/>
      </left>
      <right/>
      <top style="thick">
        <color indexed="64"/>
      </top>
      <bottom/>
      <diagonal/>
    </border>
    <border>
      <left/>
      <right style="thin">
        <color indexed="64"/>
      </right>
      <top style="thick">
        <color indexed="64"/>
      </top>
      <bottom style="hair">
        <color indexed="64"/>
      </bottom>
      <diagonal/>
    </border>
    <border>
      <left style="thin">
        <color indexed="64"/>
      </left>
      <right/>
      <top style="thick">
        <color indexed="64"/>
      </top>
      <bottom style="hair">
        <color indexed="64"/>
      </bottom>
      <diagonal/>
    </border>
    <border>
      <left style="hair">
        <color indexed="64"/>
      </left>
      <right/>
      <top style="hair">
        <color indexed="64"/>
      </top>
      <bottom style="thick">
        <color indexed="64"/>
      </bottom>
      <diagonal/>
    </border>
    <border>
      <left style="thin">
        <color indexed="64"/>
      </left>
      <right/>
      <top/>
      <bottom style="hair">
        <color indexed="64"/>
      </bottom>
      <diagonal/>
    </border>
    <border>
      <left/>
      <right/>
      <top style="hair">
        <color indexed="64"/>
      </top>
      <bottom style="thick">
        <color indexed="64"/>
      </bottom>
      <diagonal/>
    </border>
    <border>
      <left/>
      <right style="thin">
        <color indexed="64"/>
      </right>
      <top/>
      <bottom style="hair">
        <color indexed="64"/>
      </bottom>
      <diagonal/>
    </border>
    <border>
      <left style="hair">
        <color indexed="64"/>
      </left>
      <right style="hair">
        <color indexed="64"/>
      </right>
      <top style="thin">
        <color indexed="64"/>
      </top>
      <bottom/>
      <diagonal/>
    </border>
    <border>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theme="0"/>
      </left>
      <right style="thick">
        <color indexed="64"/>
      </right>
      <top style="thick">
        <color indexed="64"/>
      </top>
      <bottom/>
      <diagonal/>
    </border>
    <border>
      <left style="thin">
        <color theme="0" tint="-0.14996795556505021"/>
      </left>
      <right/>
      <top style="thin">
        <color theme="0" tint="-0.14996795556505021"/>
      </top>
      <bottom/>
      <diagonal/>
    </border>
    <border>
      <left/>
      <right style="thin">
        <color theme="0" tint="-0.14996795556505021"/>
      </right>
      <top style="thin">
        <color theme="0" tint="-0.14996795556505021"/>
      </top>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top/>
      <bottom style="thin">
        <color theme="0" tint="-0.14996795556505021"/>
      </bottom>
      <diagonal/>
    </border>
    <border>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left>
      <right/>
      <top style="thick">
        <color indexed="64"/>
      </top>
      <bottom/>
      <diagonal/>
    </border>
    <border>
      <left/>
      <right style="thin">
        <color theme="0"/>
      </right>
      <top style="thick">
        <color indexed="64"/>
      </top>
      <bottom/>
      <diagonal/>
    </border>
    <border>
      <left/>
      <right style="thick">
        <color indexed="64"/>
      </right>
      <top style="thick">
        <color indexed="64"/>
      </top>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3">
    <xf numFmtId="0" fontId="0" fillId="0" borderId="0"/>
    <xf numFmtId="0" fontId="58" fillId="0" borderId="0"/>
    <xf numFmtId="0" fontId="70" fillId="0" borderId="0" applyNumberFormat="0" applyFill="0" applyBorder="0" applyAlignment="0" applyProtection="0"/>
  </cellStyleXfs>
  <cellXfs count="800">
    <xf numFmtId="0" fontId="0" fillId="0" borderId="0" xfId="0"/>
    <xf numFmtId="0" fontId="0" fillId="0" borderId="0" xfId="0" applyAlignment="1" applyProtection="1">
      <alignment horizontal="centerContinuous"/>
    </xf>
    <xf numFmtId="0" fontId="0" fillId="0" borderId="0" xfId="0" applyProtection="1"/>
    <xf numFmtId="0" fontId="4" fillId="0" borderId="0" xfId="0" applyFont="1" applyAlignment="1" applyProtection="1">
      <alignment horizontal="centerContinuous"/>
    </xf>
    <xf numFmtId="0" fontId="0" fillId="0" borderId="1" xfId="0" applyBorder="1" applyProtection="1"/>
    <xf numFmtId="0" fontId="0" fillId="0" borderId="2" xfId="0" applyBorder="1" applyProtection="1"/>
    <xf numFmtId="0" fontId="4" fillId="0" borderId="3" xfId="0" applyFont="1" applyBorder="1" applyAlignment="1" applyProtection="1">
      <alignment horizontal="center"/>
    </xf>
    <xf numFmtId="0" fontId="0" fillId="0" borderId="4" xfId="0" applyBorder="1" applyProtection="1"/>
    <xf numFmtId="0" fontId="0" fillId="0" borderId="5" xfId="0" applyBorder="1" applyProtection="1"/>
    <xf numFmtId="0" fontId="4" fillId="0" borderId="6" xfId="0" applyFont="1" applyBorder="1" applyAlignment="1" applyProtection="1">
      <alignment horizontal="center"/>
    </xf>
    <xf numFmtId="0" fontId="0" fillId="0" borderId="7" xfId="0" applyBorder="1" applyProtection="1"/>
    <xf numFmtId="0" fontId="0" fillId="0" borderId="8" xfId="0" applyBorder="1" applyProtection="1"/>
    <xf numFmtId="0" fontId="0" fillId="0" borderId="9" xfId="0" applyBorder="1" applyAlignment="1" applyProtection="1">
      <alignment horizontal="center"/>
    </xf>
    <xf numFmtId="0" fontId="0" fillId="0" borderId="10" xfId="0" applyBorder="1" applyProtection="1"/>
    <xf numFmtId="0" fontId="0" fillId="0" borderId="11" xfId="0" applyBorder="1" applyProtection="1"/>
    <xf numFmtId="0" fontId="0" fillId="0" borderId="12" xfId="0" applyBorder="1" applyAlignment="1" applyProtection="1">
      <alignment horizontal="left"/>
    </xf>
    <xf numFmtId="0" fontId="0" fillId="0" borderId="13" xfId="0" applyBorder="1" applyAlignment="1" applyProtection="1">
      <alignment horizontal="left"/>
    </xf>
    <xf numFmtId="0" fontId="11" fillId="0" borderId="14" xfId="0" applyFont="1" applyBorder="1" applyAlignment="1" applyProtection="1">
      <alignment horizontal="center" vertical="center"/>
    </xf>
    <xf numFmtId="0" fontId="11" fillId="0" borderId="15" xfId="0" applyFont="1" applyBorder="1" applyAlignment="1" applyProtection="1">
      <alignment horizontal="center" vertical="center"/>
    </xf>
    <xf numFmtId="0" fontId="11" fillId="0" borderId="16" xfId="0" applyFont="1" applyBorder="1" applyAlignment="1" applyProtection="1">
      <alignment horizontal="center" vertical="center"/>
    </xf>
    <xf numFmtId="0" fontId="0" fillId="2" borderId="0" xfId="0" applyFill="1" applyAlignment="1" applyProtection="1">
      <alignment horizontal="left"/>
    </xf>
    <xf numFmtId="0" fontId="0" fillId="2" borderId="0" xfId="0" applyFill="1" applyProtection="1"/>
    <xf numFmtId="164" fontId="12" fillId="0" borderId="0" xfId="0" applyNumberFormat="1" applyFont="1" applyProtection="1"/>
    <xf numFmtId="0" fontId="6" fillId="0" borderId="0" xfId="0" applyFont="1" applyBorder="1" applyAlignment="1" applyProtection="1">
      <alignment horizontal="center" vertical="center"/>
    </xf>
    <xf numFmtId="0" fontId="0" fillId="0" borderId="0" xfId="0" applyBorder="1" applyAlignment="1" applyProtection="1">
      <alignment horizontal="left" vertical="center"/>
    </xf>
    <xf numFmtId="0" fontId="14" fillId="3" borderId="0" xfId="0" applyFont="1" applyFill="1" applyAlignment="1">
      <alignment vertical="center" wrapText="1"/>
    </xf>
    <xf numFmtId="0" fontId="14" fillId="3" borderId="0" xfId="0" applyFont="1" applyFill="1" applyAlignment="1">
      <alignment horizontal="center" vertical="center" wrapText="1"/>
    </xf>
    <xf numFmtId="0" fontId="0" fillId="2" borderId="7" xfId="0" applyFill="1" applyBorder="1" applyProtection="1"/>
    <xf numFmtId="0" fontId="0" fillId="2" borderId="8" xfId="0" applyFill="1" applyBorder="1" applyProtection="1"/>
    <xf numFmtId="0" fontId="0" fillId="2" borderId="9" xfId="0" applyFill="1" applyBorder="1" applyAlignment="1" applyProtection="1">
      <alignment horizontal="center"/>
    </xf>
    <xf numFmtId="0" fontId="0" fillId="2" borderId="14" xfId="0" applyFill="1" applyBorder="1" applyAlignment="1" applyProtection="1">
      <alignment horizontal="center"/>
    </xf>
    <xf numFmtId="0" fontId="0" fillId="2" borderId="15" xfId="0" applyFill="1" applyBorder="1" applyAlignment="1" applyProtection="1">
      <alignment horizontal="center"/>
    </xf>
    <xf numFmtId="0" fontId="0" fillId="2" borderId="17" xfId="0" applyFill="1" applyBorder="1" applyAlignment="1" applyProtection="1">
      <alignment horizontal="center"/>
    </xf>
    <xf numFmtId="0" fontId="4" fillId="5" borderId="3" xfId="0" applyFont="1" applyFill="1" applyBorder="1" applyAlignment="1" applyProtection="1">
      <alignment horizontal="center"/>
    </xf>
    <xf numFmtId="0" fontId="4" fillId="5" borderId="6" xfId="0" applyFont="1" applyFill="1" applyBorder="1" applyAlignment="1" applyProtection="1">
      <alignment horizontal="center"/>
    </xf>
    <xf numFmtId="0" fontId="0" fillId="0" borderId="18" xfId="0" applyBorder="1" applyAlignment="1" applyProtection="1">
      <alignment horizontal="left" vertical="center"/>
    </xf>
    <xf numFmtId="0" fontId="7" fillId="0" borderId="0" xfId="0" applyFont="1" applyBorder="1" applyAlignment="1" applyProtection="1">
      <alignment horizontal="centerContinuous" vertical="center"/>
    </xf>
    <xf numFmtId="0" fontId="4" fillId="2" borderId="0" xfId="0" applyFont="1" applyFill="1" applyBorder="1" applyAlignment="1" applyProtection="1">
      <alignment vertical="center"/>
    </xf>
    <xf numFmtId="0" fontId="4" fillId="0" borderId="0" xfId="0" applyFont="1" applyBorder="1" applyAlignment="1" applyProtection="1">
      <alignment vertical="center"/>
    </xf>
    <xf numFmtId="0" fontId="0" fillId="0" borderId="0" xfId="0" applyAlignment="1" applyProtection="1">
      <alignment vertical="center"/>
    </xf>
    <xf numFmtId="0" fontId="0" fillId="0" borderId="0" xfId="0" applyAlignment="1" applyProtection="1">
      <alignment horizontal="center" vertical="center"/>
    </xf>
    <xf numFmtId="0" fontId="0" fillId="0" borderId="0" xfId="0" applyBorder="1" applyAlignment="1" applyProtection="1">
      <alignment vertical="center"/>
    </xf>
    <xf numFmtId="14" fontId="0" fillId="0" borderId="0" xfId="0" applyNumberFormat="1" applyAlignment="1" applyProtection="1">
      <alignment vertical="center"/>
    </xf>
    <xf numFmtId="0" fontId="4" fillId="2" borderId="0" xfId="0" applyFont="1" applyFill="1" applyBorder="1" applyAlignment="1" applyProtection="1">
      <alignment horizontal="centerContinuous" vertical="center"/>
    </xf>
    <xf numFmtId="0" fontId="4" fillId="0" borderId="0" xfId="0" applyFont="1" applyBorder="1" applyAlignment="1" applyProtection="1">
      <alignment horizontal="centerContinuous" vertical="center"/>
    </xf>
    <xf numFmtId="0" fontId="4" fillId="2" borderId="19" xfId="0" applyFont="1" applyFill="1" applyBorder="1" applyAlignment="1" applyProtection="1">
      <alignment horizontal="center" vertical="center"/>
    </xf>
    <xf numFmtId="0" fontId="4" fillId="0" borderId="0" xfId="0" applyFont="1" applyBorder="1" applyAlignment="1" applyProtection="1">
      <alignment horizontal="center" vertical="center"/>
    </xf>
    <xf numFmtId="0" fontId="0" fillId="2" borderId="0" xfId="0" applyFill="1" applyAlignment="1" applyProtection="1">
      <alignment vertical="center"/>
    </xf>
    <xf numFmtId="164" fontId="12" fillId="0" borderId="0" xfId="0" applyNumberFormat="1" applyFont="1" applyAlignment="1" applyProtection="1">
      <alignment vertical="center"/>
    </xf>
    <xf numFmtId="0" fontId="0" fillId="0" borderId="0" xfId="0" quotePrefix="1" applyBorder="1" applyAlignment="1" applyProtection="1">
      <alignment horizontal="center" vertical="center"/>
    </xf>
    <xf numFmtId="0" fontId="0" fillId="0" borderId="0" xfId="0" applyAlignment="1" applyProtection="1">
      <alignment horizontal="left" vertical="center"/>
    </xf>
    <xf numFmtId="0" fontId="41" fillId="0" borderId="4" xfId="0" applyFont="1" applyBorder="1" applyAlignment="1" applyProtection="1">
      <alignment vertical="center"/>
    </xf>
    <xf numFmtId="0" fontId="7" fillId="0" borderId="0" xfId="0" applyFont="1" applyBorder="1" applyAlignment="1" applyProtection="1">
      <alignment horizontal="left" vertical="center"/>
    </xf>
    <xf numFmtId="0" fontId="16" fillId="0" borderId="0" xfId="0" applyFont="1" applyAlignment="1" applyProtection="1"/>
    <xf numFmtId="0" fontId="0" fillId="0" borderId="8" xfId="0" applyFont="1" applyBorder="1" applyAlignment="1" applyProtection="1">
      <alignment horizontal="left" vertical="center"/>
    </xf>
    <xf numFmtId="0" fontId="0" fillId="2" borderId="0" xfId="0" applyFont="1" applyFill="1" applyAlignment="1" applyProtection="1">
      <alignment vertical="center"/>
    </xf>
    <xf numFmtId="0" fontId="0" fillId="0" borderId="0" xfId="0" applyFont="1" applyAlignment="1" applyProtection="1">
      <alignment vertical="center"/>
    </xf>
    <xf numFmtId="0" fontId="0" fillId="0" borderId="0" xfId="0" applyFont="1" applyAlignment="1" applyProtection="1">
      <alignment horizontal="center" vertical="center"/>
    </xf>
    <xf numFmtId="0" fontId="11" fillId="0" borderId="20" xfId="0" applyFont="1" applyBorder="1" applyAlignment="1" applyProtection="1">
      <alignment horizontal="center" vertical="center"/>
    </xf>
    <xf numFmtId="0" fontId="8" fillId="0" borderId="0" xfId="0" applyFont="1" applyAlignment="1" applyProtection="1">
      <alignment vertical="center"/>
    </xf>
    <xf numFmtId="0" fontId="8" fillId="0" borderId="0" xfId="0" applyNumberFormat="1" applyFont="1" applyFill="1" applyBorder="1" applyAlignment="1" applyProtection="1">
      <alignment vertical="center"/>
    </xf>
    <xf numFmtId="0" fontId="8" fillId="0" borderId="0" xfId="0" applyFont="1" applyAlignment="1">
      <alignment horizontal="left" vertical="center"/>
    </xf>
    <xf numFmtId="0" fontId="11" fillId="0" borderId="0" xfId="0" applyFont="1" applyAlignment="1" applyProtection="1">
      <alignment vertical="center"/>
    </xf>
    <xf numFmtId="14" fontId="11" fillId="0" borderId="21" xfId="0" applyNumberFormat="1" applyFont="1" applyBorder="1" applyAlignment="1" applyProtection="1">
      <alignment horizontal="centerContinuous" vertical="center"/>
    </xf>
    <xf numFmtId="0" fontId="8" fillId="0" borderId="22" xfId="0" applyFont="1" applyBorder="1" applyAlignment="1">
      <alignment horizontal="centerContinuous" vertical="center"/>
    </xf>
    <xf numFmtId="0" fontId="8" fillId="0" borderId="22" xfId="0" applyFont="1" applyBorder="1" applyAlignment="1" applyProtection="1">
      <alignment horizontal="centerContinuous" vertical="center"/>
    </xf>
    <xf numFmtId="0" fontId="8" fillId="0" borderId="23" xfId="0" applyFont="1" applyBorder="1" applyAlignment="1" applyProtection="1">
      <alignment horizontal="centerContinuous" vertical="center"/>
    </xf>
    <xf numFmtId="14" fontId="13" fillId="0" borderId="10" xfId="0" applyNumberFormat="1" applyFont="1" applyBorder="1" applyAlignment="1" applyProtection="1">
      <alignment horizontal="left" vertical="center"/>
    </xf>
    <xf numFmtId="0" fontId="8" fillId="0" borderId="24" xfId="0" applyFont="1" applyBorder="1" applyAlignment="1" applyProtection="1">
      <alignment horizontal="centerContinuous" vertical="center"/>
    </xf>
    <xf numFmtId="14" fontId="13" fillId="0" borderId="24" xfId="0" applyNumberFormat="1" applyFont="1" applyBorder="1" applyAlignment="1" applyProtection="1">
      <alignment horizontal="centerContinuous" vertical="center"/>
    </xf>
    <xf numFmtId="14" fontId="13" fillId="0" borderId="24" xfId="0" applyNumberFormat="1" applyFont="1" applyBorder="1" applyAlignment="1" applyProtection="1">
      <alignment horizontal="center" vertical="center"/>
    </xf>
    <xf numFmtId="0" fontId="8" fillId="0" borderId="11" xfId="0" applyFont="1" applyBorder="1" applyAlignment="1" applyProtection="1">
      <alignment vertical="center"/>
    </xf>
    <xf numFmtId="14" fontId="11" fillId="0" borderId="25" xfId="0" applyNumberFormat="1" applyFont="1" applyBorder="1" applyAlignment="1" applyProtection="1">
      <alignment horizontal="left" vertical="center"/>
    </xf>
    <xf numFmtId="0" fontId="8" fillId="0" borderId="0" xfId="0" applyFont="1" applyBorder="1" applyAlignment="1">
      <alignment horizontal="left" vertical="center"/>
    </xf>
    <xf numFmtId="0" fontId="8" fillId="0" borderId="0" xfId="0" applyFont="1" applyBorder="1" applyAlignment="1" applyProtection="1">
      <alignment vertical="center"/>
    </xf>
    <xf numFmtId="0" fontId="8" fillId="6" borderId="26" xfId="0" applyFont="1" applyFill="1" applyBorder="1" applyAlignment="1" applyProtection="1">
      <alignment vertical="center"/>
    </xf>
    <xf numFmtId="0" fontId="8" fillId="0" borderId="12" xfId="0" applyFont="1" applyBorder="1" applyAlignment="1" applyProtection="1">
      <alignment vertical="center"/>
    </xf>
    <xf numFmtId="0" fontId="8" fillId="7" borderId="27" xfId="0" applyFont="1" applyFill="1" applyBorder="1" applyAlignment="1" applyProtection="1">
      <alignment vertical="center"/>
    </xf>
    <xf numFmtId="14" fontId="11" fillId="0" borderId="28" xfId="0" applyNumberFormat="1" applyFont="1" applyBorder="1" applyAlignment="1" applyProtection="1">
      <alignment horizontal="left" vertical="center"/>
    </xf>
    <xf numFmtId="0" fontId="8" fillId="0" borderId="29" xfId="0" applyFont="1" applyBorder="1" applyAlignment="1">
      <alignment horizontal="left" vertical="center"/>
    </xf>
    <xf numFmtId="0" fontId="8" fillId="0" borderId="29" xfId="0" applyFont="1" applyBorder="1" applyAlignment="1" applyProtection="1">
      <alignment vertical="center"/>
    </xf>
    <xf numFmtId="0" fontId="8" fillId="3" borderId="30" xfId="0" applyFont="1" applyFill="1" applyBorder="1" applyAlignment="1" applyProtection="1">
      <alignment vertical="center"/>
    </xf>
    <xf numFmtId="0" fontId="8" fillId="0" borderId="13" xfId="0" applyFont="1" applyBorder="1" applyAlignment="1" applyProtection="1">
      <alignment vertical="center"/>
    </xf>
    <xf numFmtId="0" fontId="13" fillId="0" borderId="0" xfId="0" applyFont="1" applyAlignment="1" applyProtection="1">
      <alignment vertical="center"/>
    </xf>
    <xf numFmtId="0" fontId="8" fillId="0" borderId="0" xfId="0" applyNumberFormat="1" applyFont="1" applyFill="1" applyBorder="1" applyAlignment="1" applyProtection="1">
      <alignment horizontal="left" vertical="center"/>
    </xf>
    <xf numFmtId="0" fontId="11" fillId="0" borderId="31" xfId="0" applyFont="1" applyBorder="1" applyAlignment="1" applyProtection="1">
      <alignment horizontal="centerContinuous" vertical="center" shrinkToFit="1"/>
    </xf>
    <xf numFmtId="0" fontId="11" fillId="0" borderId="0" xfId="0" applyFont="1" applyBorder="1" applyAlignment="1" applyProtection="1">
      <alignment horizontal="centerContinuous" vertical="center" shrinkToFit="1"/>
    </xf>
    <xf numFmtId="0" fontId="11" fillId="0" borderId="32" xfId="0" applyFont="1" applyBorder="1" applyAlignment="1" applyProtection="1">
      <alignment horizontal="centerContinuous" vertical="center" shrinkToFit="1"/>
    </xf>
    <xf numFmtId="0" fontId="11" fillId="0" borderId="33" xfId="0" applyFont="1" applyBorder="1" applyAlignment="1" applyProtection="1">
      <alignment horizontal="center" vertical="center" wrapText="1" shrinkToFit="1"/>
    </xf>
    <xf numFmtId="0" fontId="8" fillId="0" borderId="34" xfId="0" applyFont="1" applyBorder="1" applyAlignment="1" applyProtection="1">
      <alignment horizontal="center" vertical="center"/>
    </xf>
    <xf numFmtId="0" fontId="8" fillId="0" borderId="35" xfId="0" applyFont="1" applyBorder="1" applyAlignment="1" applyProtection="1">
      <alignment horizontal="center" vertical="center"/>
    </xf>
    <xf numFmtId="0" fontId="9" fillId="0" borderId="36" xfId="0" applyFont="1" applyBorder="1" applyAlignment="1" applyProtection="1">
      <alignment horizontal="left" vertical="center"/>
    </xf>
    <xf numFmtId="0" fontId="8" fillId="0" borderId="34" xfId="0" applyFont="1" applyBorder="1" applyAlignment="1" applyProtection="1">
      <alignment vertical="center"/>
    </xf>
    <xf numFmtId="0" fontId="8" fillId="0" borderId="37" xfId="0" applyFont="1" applyBorder="1" applyAlignment="1" applyProtection="1">
      <alignment horizontal="center" vertical="center"/>
    </xf>
    <xf numFmtId="9" fontId="8" fillId="0" borderId="35" xfId="0" applyNumberFormat="1" applyFont="1" applyBorder="1" applyAlignment="1" applyProtection="1">
      <alignment horizontal="center" vertical="center"/>
    </xf>
    <xf numFmtId="9" fontId="8" fillId="0" borderId="38" xfId="0" quotePrefix="1" applyNumberFormat="1" applyFont="1" applyBorder="1" applyAlignment="1" applyProtection="1">
      <alignment horizontal="center" vertical="center"/>
    </xf>
    <xf numFmtId="0" fontId="8" fillId="0" borderId="39" xfId="0" applyFont="1" applyBorder="1" applyAlignment="1" applyProtection="1">
      <alignment horizontal="center" vertical="center"/>
    </xf>
    <xf numFmtId="0" fontId="11" fillId="0" borderId="31" xfId="0" applyFont="1" applyFill="1" applyBorder="1" applyAlignment="1" applyProtection="1">
      <alignment horizontal="center" vertical="center"/>
    </xf>
    <xf numFmtId="0" fontId="8" fillId="0" borderId="0" xfId="0" applyFont="1" applyFill="1" applyBorder="1" applyAlignment="1" applyProtection="1">
      <alignment vertical="center"/>
    </xf>
    <xf numFmtId="0" fontId="8" fillId="0" borderId="40" xfId="0" applyFont="1" applyFill="1" applyBorder="1" applyAlignment="1" applyProtection="1">
      <alignment vertical="center"/>
    </xf>
    <xf numFmtId="0" fontId="8" fillId="0" borderId="37" xfId="0" applyFont="1" applyBorder="1" applyAlignment="1" applyProtection="1">
      <alignment vertical="center"/>
    </xf>
    <xf numFmtId="0" fontId="8" fillId="0" borderId="31" xfId="0" applyFont="1" applyFill="1" applyBorder="1" applyAlignment="1" applyProtection="1">
      <alignment horizontal="center" vertical="center"/>
    </xf>
    <xf numFmtId="0" fontId="8" fillId="8" borderId="41" xfId="0" applyFont="1" applyFill="1" applyBorder="1" applyAlignment="1" applyProtection="1">
      <alignment horizontal="left" vertical="center"/>
    </xf>
    <xf numFmtId="0" fontId="8" fillId="8" borderId="42" xfId="0" applyFont="1" applyFill="1" applyBorder="1" applyAlignment="1" applyProtection="1">
      <alignment vertical="center"/>
    </xf>
    <xf numFmtId="0" fontId="8" fillId="8" borderId="34" xfId="0" applyFont="1" applyFill="1" applyBorder="1" applyAlignment="1" applyProtection="1">
      <alignment horizontal="right" vertical="center"/>
    </xf>
    <xf numFmtId="0" fontId="8" fillId="8" borderId="37" xfId="0" applyFont="1" applyFill="1" applyBorder="1" applyAlignment="1" applyProtection="1">
      <alignment horizontal="right" vertical="center"/>
    </xf>
    <xf numFmtId="0" fontId="8" fillId="8" borderId="43" xfId="0" applyFont="1" applyFill="1" applyBorder="1" applyAlignment="1" applyProtection="1">
      <alignment horizontal="center" vertical="center"/>
    </xf>
    <xf numFmtId="0" fontId="8" fillId="8" borderId="44" xfId="0" applyFont="1" applyFill="1" applyBorder="1" applyAlignment="1" applyProtection="1">
      <alignment horizontal="left" vertical="center"/>
    </xf>
    <xf numFmtId="0" fontId="8" fillId="8" borderId="45" xfId="0" applyFont="1" applyFill="1" applyBorder="1" applyAlignment="1" applyProtection="1">
      <alignment vertical="center"/>
    </xf>
    <xf numFmtId="0" fontId="8" fillId="8" borderId="45" xfId="0" applyFont="1" applyFill="1" applyBorder="1" applyAlignment="1" applyProtection="1">
      <alignment horizontal="right" vertical="center"/>
    </xf>
    <xf numFmtId="0" fontId="8" fillId="8" borderId="46" xfId="0" applyFont="1" applyFill="1" applyBorder="1" applyAlignment="1" applyProtection="1">
      <alignment horizontal="right" vertical="center"/>
    </xf>
    <xf numFmtId="9" fontId="8" fillId="11" borderId="47" xfId="0" applyNumberFormat="1" applyFont="1" applyFill="1" applyBorder="1" applyAlignment="1" applyProtection="1">
      <alignment horizontal="center" vertical="center"/>
    </xf>
    <xf numFmtId="0" fontId="8" fillId="0" borderId="19" xfId="0" applyFont="1" applyBorder="1" applyAlignment="1" applyProtection="1">
      <alignment vertical="center"/>
    </xf>
    <xf numFmtId="0" fontId="8" fillId="0" borderId="32" xfId="0" applyFont="1" applyBorder="1" applyAlignment="1" applyProtection="1">
      <alignment vertical="center"/>
    </xf>
    <xf numFmtId="0" fontId="8" fillId="0" borderId="4" xfId="0" applyFont="1" applyBorder="1" applyAlignment="1" applyProtection="1">
      <alignment vertical="center"/>
    </xf>
    <xf numFmtId="0" fontId="8" fillId="0" borderId="5" xfId="0" applyFont="1" applyBorder="1" applyAlignment="1" applyProtection="1">
      <alignment vertical="center"/>
    </xf>
    <xf numFmtId="0" fontId="8" fillId="0" borderId="48" xfId="0" applyFont="1" applyBorder="1" applyAlignment="1" applyProtection="1">
      <alignment vertical="center"/>
    </xf>
    <xf numFmtId="0" fontId="8" fillId="0" borderId="49" xfId="0" applyFont="1" applyBorder="1" applyAlignment="1" applyProtection="1">
      <alignment vertical="center"/>
    </xf>
    <xf numFmtId="3" fontId="15" fillId="0" borderId="50" xfId="0" applyNumberFormat="1" applyFont="1" applyBorder="1" applyAlignment="1" applyProtection="1">
      <alignment horizontal="center" vertical="center"/>
    </xf>
    <xf numFmtId="3" fontId="15" fillId="0" borderId="51" xfId="0" applyNumberFormat="1" applyFont="1" applyBorder="1" applyAlignment="1" applyProtection="1">
      <alignment horizontal="center" vertical="center"/>
    </xf>
    <xf numFmtId="0" fontId="8" fillId="0" borderId="52" xfId="0" applyFont="1" applyBorder="1" applyAlignment="1" applyProtection="1">
      <alignment vertical="center"/>
    </xf>
    <xf numFmtId="3" fontId="15" fillId="0" borderId="53" xfId="0" applyNumberFormat="1" applyFont="1" applyBorder="1" applyAlignment="1" applyProtection="1">
      <alignment horizontal="center" vertical="center"/>
    </xf>
    <xf numFmtId="3" fontId="15" fillId="0" borderId="54" xfId="0" applyNumberFormat="1" applyFont="1" applyBorder="1" applyAlignment="1" applyProtection="1">
      <alignment horizontal="center" vertical="center"/>
    </xf>
    <xf numFmtId="0" fontId="8" fillId="0" borderId="7" xfId="0" applyFont="1" applyBorder="1" applyAlignment="1" applyProtection="1">
      <alignment vertical="center"/>
    </xf>
    <xf numFmtId="0" fontId="8" fillId="0" borderId="8" xfId="0" applyFont="1" applyBorder="1" applyAlignment="1" applyProtection="1">
      <alignment vertical="center"/>
    </xf>
    <xf numFmtId="3" fontId="15" fillId="0" borderId="14" xfId="0" applyNumberFormat="1" applyFont="1" applyBorder="1" applyAlignment="1" applyProtection="1">
      <alignment horizontal="center" vertical="center"/>
    </xf>
    <xf numFmtId="3" fontId="15" fillId="0" borderId="15" xfId="0" applyNumberFormat="1" applyFont="1" applyBorder="1" applyAlignment="1" applyProtection="1">
      <alignment horizontal="center" vertical="center"/>
    </xf>
    <xf numFmtId="3" fontId="15" fillId="0" borderId="16" xfId="0" applyNumberFormat="1" applyFont="1" applyBorder="1" applyAlignment="1" applyProtection="1">
      <alignment horizontal="center" vertical="center"/>
    </xf>
    <xf numFmtId="9" fontId="8" fillId="8" borderId="55" xfId="0" applyNumberFormat="1" applyFont="1" applyFill="1" applyBorder="1" applyAlignment="1" applyProtection="1">
      <alignment horizontal="center" vertical="center"/>
    </xf>
    <xf numFmtId="9" fontId="8" fillId="8" borderId="56" xfId="0" applyNumberFormat="1" applyFont="1" applyFill="1" applyBorder="1" applyAlignment="1" applyProtection="1">
      <alignment horizontal="center" vertical="center"/>
    </xf>
    <xf numFmtId="14" fontId="13" fillId="0" borderId="24" xfId="0" applyNumberFormat="1" applyFont="1" applyBorder="1" applyAlignment="1" applyProtection="1">
      <alignment horizontal="left" vertical="center"/>
    </xf>
    <xf numFmtId="0" fontId="18" fillId="0" borderId="0" xfId="0" applyFont="1" applyAlignment="1" applyProtection="1">
      <alignment vertical="center"/>
    </xf>
    <xf numFmtId="0" fontId="19" fillId="0" borderId="0" xfId="0" applyFont="1" applyFill="1" applyBorder="1" applyAlignment="1" applyProtection="1">
      <alignment horizontal="left" vertical="center"/>
    </xf>
    <xf numFmtId="0" fontId="18" fillId="0" borderId="0" xfId="0" applyFont="1" applyFill="1" applyBorder="1" applyAlignment="1" applyProtection="1">
      <alignment horizontal="left" vertical="center"/>
    </xf>
    <xf numFmtId="0" fontId="20" fillId="9" borderId="57" xfId="0" applyFont="1" applyFill="1" applyBorder="1" applyAlignment="1" applyProtection="1">
      <alignment horizontal="centerContinuous" vertical="center"/>
    </xf>
    <xf numFmtId="0" fontId="21" fillId="9" borderId="58" xfId="0" applyFont="1" applyFill="1" applyBorder="1" applyAlignment="1" applyProtection="1">
      <alignment horizontal="centerContinuous" vertical="center"/>
    </xf>
    <xf numFmtId="0" fontId="20" fillId="9" borderId="58" xfId="0" applyFont="1" applyFill="1" applyBorder="1" applyAlignment="1" applyProtection="1">
      <alignment horizontal="centerContinuous" vertical="center"/>
    </xf>
    <xf numFmtId="0" fontId="21" fillId="9" borderId="59" xfId="0" applyFont="1" applyFill="1" applyBorder="1" applyAlignment="1" applyProtection="1">
      <alignment horizontal="centerContinuous" vertical="center"/>
    </xf>
    <xf numFmtId="0" fontId="18" fillId="0" borderId="19" xfId="0" applyFont="1" applyBorder="1" applyAlignment="1" applyProtection="1">
      <alignment vertical="center"/>
    </xf>
    <xf numFmtId="0" fontId="18" fillId="0" borderId="32" xfId="0" applyFont="1" applyBorder="1" applyAlignment="1" applyProtection="1">
      <alignment vertical="center"/>
    </xf>
    <xf numFmtId="3" fontId="15" fillId="0" borderId="60" xfId="0" applyNumberFormat="1" applyFont="1" applyBorder="1" applyAlignment="1" applyProtection="1">
      <alignment horizontal="center" vertical="center"/>
    </xf>
    <xf numFmtId="3" fontId="15" fillId="0" borderId="61" xfId="0" applyNumberFormat="1" applyFont="1" applyBorder="1" applyAlignment="1" applyProtection="1">
      <alignment horizontal="center" vertical="center"/>
    </xf>
    <xf numFmtId="0" fontId="0" fillId="0" borderId="25" xfId="0" applyBorder="1" applyAlignment="1" applyProtection="1">
      <alignment horizontal="left"/>
    </xf>
    <xf numFmtId="0" fontId="0" fillId="0" borderId="28" xfId="0" applyBorder="1" applyAlignment="1" applyProtection="1">
      <alignment horizontal="left"/>
    </xf>
    <xf numFmtId="0" fontId="8" fillId="0" borderId="38" xfId="0" applyFont="1" applyBorder="1" applyAlignment="1" applyProtection="1">
      <alignment horizontal="center" vertical="center"/>
    </xf>
    <xf numFmtId="0" fontId="8" fillId="0" borderId="62" xfId="0" applyFont="1" applyBorder="1" applyAlignment="1" applyProtection="1">
      <alignment horizontal="center" vertical="center"/>
    </xf>
    <xf numFmtId="167" fontId="8" fillId="8" borderId="63" xfId="0" applyNumberFormat="1" applyFont="1" applyFill="1" applyBorder="1" applyAlignment="1" applyProtection="1">
      <alignment horizontal="center" vertical="center"/>
    </xf>
    <xf numFmtId="0" fontId="9" fillId="0" borderId="64" xfId="0" applyFont="1" applyBorder="1" applyAlignment="1" applyProtection="1">
      <alignment horizontal="left" vertical="center"/>
    </xf>
    <xf numFmtId="0" fontId="8" fillId="0" borderId="65" xfId="0" applyFont="1" applyBorder="1" applyAlignment="1" applyProtection="1">
      <alignment vertical="center"/>
    </xf>
    <xf numFmtId="0" fontId="8" fillId="0" borderId="65" xfId="0" applyFont="1" applyBorder="1" applyAlignment="1" applyProtection="1">
      <alignment horizontal="center" vertical="center"/>
    </xf>
    <xf numFmtId="0" fontId="8" fillId="0" borderId="2" xfId="0" applyFont="1" applyBorder="1" applyAlignment="1" applyProtection="1">
      <alignment horizontal="center" vertical="center"/>
    </xf>
    <xf numFmtId="0" fontId="9" fillId="0" borderId="66" xfId="0" applyFont="1" applyFill="1" applyBorder="1" applyAlignment="1" applyProtection="1">
      <alignment horizontal="left" vertical="center"/>
    </xf>
    <xf numFmtId="0" fontId="8" fillId="0" borderId="67" xfId="0" applyFont="1" applyFill="1" applyBorder="1" applyAlignment="1" applyProtection="1">
      <alignment vertical="center"/>
    </xf>
    <xf numFmtId="0" fontId="8" fillId="0" borderId="67" xfId="0" applyFont="1" applyFill="1" applyBorder="1" applyAlignment="1" applyProtection="1">
      <alignment horizontal="center" vertical="center"/>
    </xf>
    <xf numFmtId="0" fontId="8" fillId="0" borderId="49" xfId="0" applyFont="1" applyFill="1" applyBorder="1" applyAlignment="1" applyProtection="1">
      <alignment horizontal="center" vertical="center"/>
    </xf>
    <xf numFmtId="0" fontId="0" fillId="0" borderId="0" xfId="0" applyAlignment="1" applyProtection="1">
      <alignment horizontal="right"/>
    </xf>
    <xf numFmtId="0" fontId="42" fillId="13" borderId="14" xfId="0" applyFont="1" applyFill="1" applyBorder="1" applyAlignment="1" applyProtection="1">
      <alignment horizontal="center"/>
      <protection locked="0"/>
    </xf>
    <xf numFmtId="0" fontId="42" fillId="13" borderId="15" xfId="0" applyFont="1" applyFill="1" applyBorder="1" applyAlignment="1" applyProtection="1">
      <alignment horizontal="center"/>
      <protection locked="0"/>
    </xf>
    <xf numFmtId="0" fontId="42" fillId="13" borderId="17" xfId="0" applyFont="1" applyFill="1" applyBorder="1" applyAlignment="1" applyProtection="1">
      <alignment horizontal="center"/>
      <protection locked="0"/>
    </xf>
    <xf numFmtId="0" fontId="6" fillId="0" borderId="9" xfId="0" applyFont="1" applyBorder="1" applyAlignment="1" applyProtection="1">
      <alignment horizontal="center" vertical="center"/>
      <protection locked="0"/>
    </xf>
    <xf numFmtId="0" fontId="4" fillId="0" borderId="9" xfId="0" applyFont="1" applyBorder="1" applyAlignment="1" applyProtection="1">
      <alignment horizontal="left" vertical="center"/>
    </xf>
    <xf numFmtId="0" fontId="41" fillId="0" borderId="68" xfId="0" applyFont="1" applyBorder="1" applyAlignment="1" applyProtection="1">
      <alignment horizontal="left" vertical="center" wrapText="1"/>
    </xf>
    <xf numFmtId="0" fontId="0" fillId="0" borderId="7" xfId="0" applyFont="1" applyBorder="1" applyAlignment="1" applyProtection="1">
      <alignment horizontal="left" vertical="center" wrapText="1"/>
    </xf>
    <xf numFmtId="0" fontId="0" fillId="0" borderId="7" xfId="0" applyBorder="1" applyAlignment="1" applyProtection="1">
      <alignment horizontal="left" vertical="center" wrapText="1"/>
    </xf>
    <xf numFmtId="0" fontId="11" fillId="0" borderId="69" xfId="0" applyFont="1" applyBorder="1" applyAlignment="1" applyProtection="1">
      <alignment horizontal="center" vertical="center"/>
    </xf>
    <xf numFmtId="0" fontId="40" fillId="14" borderId="70" xfId="0" applyFont="1" applyFill="1" applyBorder="1" applyAlignment="1" applyProtection="1">
      <alignment horizontal="center" vertical="center"/>
    </xf>
    <xf numFmtId="0" fontId="41" fillId="0" borderId="0" xfId="0" applyFont="1" applyAlignment="1" applyProtection="1">
      <alignment vertical="center"/>
    </xf>
    <xf numFmtId="0" fontId="7" fillId="0" borderId="0" xfId="0" applyFont="1" applyAlignment="1" applyProtection="1">
      <alignment horizontal="left" vertical="center"/>
    </xf>
    <xf numFmtId="0" fontId="6" fillId="0" borderId="9" xfId="0" applyFont="1" applyBorder="1" applyAlignment="1" applyProtection="1">
      <alignment horizontal="center" vertical="center" wrapText="1"/>
      <protection locked="0"/>
    </xf>
    <xf numFmtId="0" fontId="0" fillId="0" borderId="8" xfId="0" applyFont="1" applyBorder="1" applyAlignment="1" applyProtection="1">
      <alignment horizontal="left" vertical="center" wrapText="1"/>
    </xf>
    <xf numFmtId="0" fontId="0" fillId="2" borderId="0" xfId="0" applyFont="1" applyFill="1" applyAlignment="1" applyProtection="1">
      <alignment vertical="center" wrapText="1"/>
    </xf>
    <xf numFmtId="0" fontId="0" fillId="0" borderId="0" xfId="0" applyFont="1" applyAlignment="1" applyProtection="1">
      <alignment vertical="center" wrapText="1"/>
    </xf>
    <xf numFmtId="0" fontId="0" fillId="0" borderId="0" xfId="0" applyFont="1" applyAlignment="1" applyProtection="1">
      <alignment horizontal="center" vertical="center" wrapText="1"/>
    </xf>
    <xf numFmtId="0" fontId="0" fillId="2" borderId="0" xfId="0" applyFont="1" applyFill="1" applyAlignment="1" applyProtection="1">
      <alignment horizontal="left" vertical="center" wrapText="1"/>
    </xf>
    <xf numFmtId="0" fontId="0" fillId="0" borderId="0" xfId="0" applyFont="1" applyAlignment="1" applyProtection="1">
      <alignment horizontal="left" vertical="center" wrapText="1"/>
    </xf>
    <xf numFmtId="0" fontId="4" fillId="0" borderId="9" xfId="0" applyFont="1" applyBorder="1" applyAlignment="1" applyProtection="1">
      <alignment horizontal="centerContinuous" vertical="center"/>
    </xf>
    <xf numFmtId="0" fontId="6" fillId="0" borderId="9" xfId="0" applyFont="1" applyBorder="1" applyAlignment="1" applyProtection="1">
      <alignment horizontal="center" vertical="center" wrapText="1"/>
    </xf>
    <xf numFmtId="0" fontId="0" fillId="0" borderId="1" xfId="0" applyBorder="1" applyAlignment="1" applyProtection="1">
      <alignment horizontal="left" vertical="center" wrapText="1"/>
    </xf>
    <xf numFmtId="0" fontId="0" fillId="2" borderId="0" xfId="0" applyFill="1" applyBorder="1" applyAlignment="1" applyProtection="1">
      <alignment vertical="center"/>
    </xf>
    <xf numFmtId="0" fontId="6" fillId="0" borderId="9" xfId="0" applyFont="1" applyBorder="1" applyAlignment="1" applyProtection="1">
      <alignment horizontal="center" vertical="center"/>
    </xf>
    <xf numFmtId="0" fontId="0" fillId="2" borderId="19" xfId="0" applyFont="1" applyFill="1" applyBorder="1" applyAlignment="1" applyProtection="1">
      <alignment horizontal="center" vertical="center"/>
    </xf>
    <xf numFmtId="0" fontId="0" fillId="0" borderId="0" xfId="0" applyFont="1" applyBorder="1" applyAlignment="1" applyProtection="1">
      <alignment horizontal="center" vertical="center"/>
    </xf>
    <xf numFmtId="0" fontId="0" fillId="2" borderId="19" xfId="0" applyFont="1" applyFill="1" applyBorder="1" applyAlignment="1" applyProtection="1">
      <alignment horizontal="center" vertical="center" wrapText="1"/>
    </xf>
    <xf numFmtId="0" fontId="0" fillId="0" borderId="0" xfId="0" applyFont="1" applyBorder="1" applyAlignment="1" applyProtection="1">
      <alignment horizontal="center" vertical="center" wrapText="1"/>
    </xf>
    <xf numFmtId="0" fontId="0" fillId="0" borderId="0" xfId="0" applyFont="1" applyBorder="1" applyAlignment="1" applyProtection="1">
      <alignment vertical="center" wrapText="1"/>
    </xf>
    <xf numFmtId="0" fontId="0" fillId="0" borderId="54" xfId="0" applyBorder="1" applyAlignment="1" applyProtection="1">
      <alignment horizontal="center"/>
    </xf>
    <xf numFmtId="14" fontId="11" fillId="0" borderId="0" xfId="0" applyNumberFormat="1" applyFont="1" applyBorder="1" applyAlignment="1" applyProtection="1">
      <alignment horizontal="left" vertical="center"/>
    </xf>
    <xf numFmtId="0" fontId="8" fillId="15" borderId="27" xfId="0" applyFont="1" applyFill="1" applyBorder="1" applyAlignment="1" applyProtection="1">
      <alignment vertical="center"/>
    </xf>
    <xf numFmtId="49" fontId="9" fillId="16" borderId="71" xfId="0" applyNumberFormat="1" applyFont="1" applyFill="1" applyBorder="1" applyAlignment="1" applyProtection="1">
      <alignment horizontal="left" vertical="center"/>
    </xf>
    <xf numFmtId="0" fontId="8" fillId="16" borderId="72" xfId="0" applyFont="1" applyFill="1" applyBorder="1" applyAlignment="1" applyProtection="1">
      <alignment vertical="center"/>
    </xf>
    <xf numFmtId="0" fontId="8" fillId="16" borderId="72" xfId="0" applyFont="1" applyFill="1" applyBorder="1" applyAlignment="1" applyProtection="1">
      <alignment horizontal="center" vertical="center"/>
    </xf>
    <xf numFmtId="0" fontId="8" fillId="0" borderId="0" xfId="0" quotePrefix="1" applyFont="1" applyAlignment="1" applyProtection="1">
      <alignment vertical="center"/>
    </xf>
    <xf numFmtId="10" fontId="0" fillId="0" borderId="73" xfId="0" applyNumberFormat="1" applyBorder="1"/>
    <xf numFmtId="0" fontId="8" fillId="0" borderId="73" xfId="0" applyFont="1" applyBorder="1" applyAlignment="1" applyProtection="1">
      <alignment vertical="center"/>
    </xf>
    <xf numFmtId="10" fontId="0" fillId="17" borderId="73" xfId="0" applyNumberFormat="1" applyFill="1" applyBorder="1"/>
    <xf numFmtId="0" fontId="8" fillId="0" borderId="58" xfId="0" applyFont="1" applyBorder="1" applyAlignment="1" applyProtection="1">
      <alignment vertical="center"/>
    </xf>
    <xf numFmtId="0" fontId="8" fillId="0" borderId="74" xfId="0" applyFont="1" applyBorder="1" applyAlignment="1" applyProtection="1">
      <alignment vertical="center"/>
    </xf>
    <xf numFmtId="0" fontId="8" fillId="0" borderId="9" xfId="0" applyFont="1" applyBorder="1" applyAlignment="1" applyProtection="1">
      <alignment horizontal="center" vertical="center"/>
    </xf>
    <xf numFmtId="0" fontId="8" fillId="0" borderId="9" xfId="0" applyFont="1" applyBorder="1" applyAlignment="1" applyProtection="1">
      <alignment horizontal="center"/>
    </xf>
    <xf numFmtId="0" fontId="32" fillId="0" borderId="0" xfId="0" applyFont="1" applyAlignment="1" applyProtection="1">
      <alignment vertical="center"/>
    </xf>
    <xf numFmtId="14" fontId="11" fillId="0" borderId="0" xfId="0" applyNumberFormat="1" applyFont="1" applyFill="1" applyBorder="1" applyAlignment="1" applyProtection="1">
      <alignment horizontal="left" vertical="center"/>
    </xf>
    <xf numFmtId="0" fontId="0" fillId="0" borderId="0" xfId="0" applyBorder="1" applyAlignment="1" applyProtection="1">
      <alignment horizontal="left"/>
    </xf>
    <xf numFmtId="167" fontId="8" fillId="0" borderId="75" xfId="0" applyNumberFormat="1" applyFont="1" applyBorder="1" applyAlignment="1" applyProtection="1">
      <alignment vertical="center"/>
    </xf>
    <xf numFmtId="167" fontId="8" fillId="0" borderId="76" xfId="0" applyNumberFormat="1" applyFont="1" applyBorder="1" applyAlignment="1" applyProtection="1">
      <alignment vertical="center"/>
    </xf>
    <xf numFmtId="167" fontId="8" fillId="0" borderId="77" xfId="0" applyNumberFormat="1" applyFont="1" applyFill="1" applyBorder="1" applyAlignment="1" applyProtection="1">
      <alignment vertical="center"/>
    </xf>
    <xf numFmtId="167" fontId="8" fillId="0" borderId="78" xfId="0" applyNumberFormat="1" applyFont="1" applyFill="1" applyBorder="1" applyAlignment="1" applyProtection="1">
      <alignment vertical="center"/>
    </xf>
    <xf numFmtId="167" fontId="8" fillId="0" borderId="35" xfId="0" applyNumberFormat="1" applyFont="1" applyBorder="1" applyAlignment="1" applyProtection="1">
      <alignment vertical="center"/>
    </xf>
    <xf numFmtId="167" fontId="8" fillId="0" borderId="38" xfId="0" applyNumberFormat="1" applyFont="1" applyBorder="1" applyAlignment="1" applyProtection="1">
      <alignment vertical="center"/>
    </xf>
    <xf numFmtId="169" fontId="8" fillId="0" borderId="43" xfId="0" applyNumberFormat="1" applyFont="1" applyBorder="1" applyAlignment="1" applyProtection="1">
      <alignment vertical="center"/>
    </xf>
    <xf numFmtId="169" fontId="8" fillId="0" borderId="63" xfId="0" applyNumberFormat="1" applyFont="1" applyBorder="1" applyAlignment="1" applyProtection="1">
      <alignment vertical="center"/>
    </xf>
    <xf numFmtId="170" fontId="8" fillId="0" borderId="35" xfId="0" applyNumberFormat="1" applyFont="1" applyBorder="1" applyAlignment="1" applyProtection="1">
      <alignment vertical="center"/>
    </xf>
    <xf numFmtId="170" fontId="8" fillId="0" borderId="38" xfId="0" applyNumberFormat="1" applyFont="1" applyBorder="1" applyAlignment="1" applyProtection="1">
      <alignment vertical="center"/>
    </xf>
    <xf numFmtId="171" fontId="8" fillId="0" borderId="35" xfId="0" applyNumberFormat="1" applyFont="1" applyBorder="1" applyAlignment="1" applyProtection="1">
      <alignment vertical="center"/>
    </xf>
    <xf numFmtId="171" fontId="8" fillId="0" borderId="38" xfId="0" applyNumberFormat="1" applyFont="1" applyBorder="1" applyAlignment="1" applyProtection="1">
      <alignment vertical="center"/>
    </xf>
    <xf numFmtId="172" fontId="8" fillId="0" borderId="35" xfId="0" applyNumberFormat="1" applyFont="1" applyBorder="1" applyAlignment="1" applyProtection="1">
      <alignment vertical="center"/>
    </xf>
    <xf numFmtId="172" fontId="8" fillId="0" borderId="38" xfId="0" applyNumberFormat="1" applyFont="1" applyBorder="1" applyAlignment="1" applyProtection="1">
      <alignment vertical="center"/>
    </xf>
    <xf numFmtId="9" fontId="8" fillId="8" borderId="77" xfId="0" applyNumberFormat="1" applyFont="1" applyFill="1" applyBorder="1" applyAlignment="1" applyProtection="1">
      <alignment horizontal="center" vertical="center"/>
    </xf>
    <xf numFmtId="9" fontId="8" fillId="8" borderId="35" xfId="0" applyNumberFormat="1" applyFont="1" applyFill="1" applyBorder="1" applyAlignment="1" applyProtection="1">
      <alignment horizontal="center" vertical="center"/>
    </xf>
    <xf numFmtId="9" fontId="8" fillId="8" borderId="79" xfId="0" applyNumberFormat="1" applyFont="1" applyFill="1" applyBorder="1" applyAlignment="1" applyProtection="1">
      <alignment horizontal="center" vertical="center"/>
    </xf>
    <xf numFmtId="9" fontId="8" fillId="8" borderId="16" xfId="0" applyNumberFormat="1" applyFont="1" applyFill="1" applyBorder="1" applyAlignment="1" applyProtection="1">
      <alignment horizontal="center" vertical="center"/>
    </xf>
    <xf numFmtId="0" fontId="0" fillId="0" borderId="0" xfId="0" applyBorder="1" applyProtection="1"/>
    <xf numFmtId="0" fontId="43" fillId="6" borderId="80" xfId="0" applyFont="1" applyFill="1" applyBorder="1" applyAlignment="1" applyProtection="1">
      <alignment vertical="center"/>
    </xf>
    <xf numFmtId="0" fontId="11" fillId="7" borderId="81" xfId="0" applyFont="1" applyFill="1" applyBorder="1" applyAlignment="1" applyProtection="1">
      <alignment vertical="center"/>
    </xf>
    <xf numFmtId="0" fontId="11" fillId="15" borderId="81" xfId="0" applyFont="1" applyFill="1" applyBorder="1" applyAlignment="1" applyProtection="1">
      <alignment vertical="center"/>
    </xf>
    <xf numFmtId="0" fontId="43" fillId="3" borderId="82" xfId="0" applyFont="1" applyFill="1" applyBorder="1" applyAlignment="1" applyProtection="1">
      <alignment vertical="center"/>
    </xf>
    <xf numFmtId="14" fontId="13" fillId="0" borderId="19" xfId="0" applyNumberFormat="1" applyFont="1" applyBorder="1" applyAlignment="1" applyProtection="1">
      <alignment horizontal="left" vertical="center"/>
    </xf>
    <xf numFmtId="14" fontId="13" fillId="0" borderId="0" xfId="0" applyNumberFormat="1" applyFont="1" applyBorder="1" applyAlignment="1" applyProtection="1">
      <alignment horizontal="centerContinuous" vertical="center"/>
    </xf>
    <xf numFmtId="0" fontId="8" fillId="0" borderId="32" xfId="0" applyFont="1" applyBorder="1" applyAlignment="1" applyProtection="1">
      <alignment horizontal="centerContinuous" vertical="center"/>
    </xf>
    <xf numFmtId="14" fontId="11" fillId="0" borderId="7" xfId="0" applyNumberFormat="1" applyFont="1" applyBorder="1" applyAlignment="1" applyProtection="1">
      <alignment horizontal="centerContinuous" vertical="center"/>
    </xf>
    <xf numFmtId="0" fontId="8" fillId="0" borderId="74" xfId="0" applyFont="1" applyBorder="1" applyAlignment="1" applyProtection="1">
      <alignment horizontal="centerContinuous" vertical="center"/>
    </xf>
    <xf numFmtId="0" fontId="8" fillId="0" borderId="8" xfId="0" applyFont="1" applyBorder="1" applyAlignment="1" applyProtection="1">
      <alignment horizontal="centerContinuous" vertical="center"/>
    </xf>
    <xf numFmtId="0" fontId="44" fillId="0" borderId="0" xfId="0" applyFont="1" applyAlignment="1" applyProtection="1">
      <alignment vertical="center"/>
    </xf>
    <xf numFmtId="0" fontId="34" fillId="0" borderId="0" xfId="0" applyFont="1" applyAlignment="1">
      <alignment horizontal="right" vertical="top" wrapText="1"/>
    </xf>
    <xf numFmtId="0" fontId="0" fillId="0" borderId="0" xfId="0" applyAlignment="1" applyProtection="1"/>
    <xf numFmtId="0" fontId="0" fillId="0" borderId="74" xfId="0" applyBorder="1" applyAlignment="1">
      <alignment horizontal="center" vertical="center" shrinkToFit="1"/>
    </xf>
    <xf numFmtId="9" fontId="8" fillId="11" borderId="83" xfId="0" applyNumberFormat="1" applyFont="1" applyFill="1" applyBorder="1" applyAlignment="1" applyProtection="1">
      <alignment horizontal="center" vertical="center"/>
    </xf>
    <xf numFmtId="166" fontId="0" fillId="0" borderId="9" xfId="0" applyNumberFormat="1" applyBorder="1" applyAlignment="1" applyProtection="1">
      <alignment horizontal="center"/>
    </xf>
    <xf numFmtId="0" fontId="41" fillId="0" borderId="2" xfId="0" applyFont="1" applyBorder="1" applyAlignment="1" applyProtection="1">
      <alignment horizontal="center"/>
    </xf>
    <xf numFmtId="0" fontId="41" fillId="0" borderId="5" xfId="0" applyFont="1" applyBorder="1" applyAlignment="1" applyProtection="1">
      <alignment horizontal="center"/>
    </xf>
    <xf numFmtId="0" fontId="0" fillId="0" borderId="8" xfId="0" applyBorder="1" applyAlignment="1" applyProtection="1">
      <alignment horizontal="center"/>
    </xf>
    <xf numFmtId="0" fontId="0" fillId="2" borderId="8" xfId="0" applyFill="1" applyBorder="1" applyAlignment="1" applyProtection="1">
      <alignment horizontal="center"/>
    </xf>
    <xf numFmtId="168" fontId="1" fillId="5" borderId="8" xfId="0" applyNumberFormat="1" applyFont="1" applyFill="1" applyBorder="1" applyAlignment="1" applyProtection="1">
      <alignment horizontal="center"/>
    </xf>
    <xf numFmtId="168" fontId="0" fillId="2" borderId="17" xfId="0" applyNumberFormat="1" applyFill="1" applyBorder="1" applyAlignment="1" applyProtection="1">
      <alignment horizontal="center"/>
    </xf>
    <xf numFmtId="9" fontId="0" fillId="0" borderId="0" xfId="0" applyNumberFormat="1" applyProtection="1"/>
    <xf numFmtId="0" fontId="41" fillId="0" borderId="7" xfId="0" applyFont="1" applyBorder="1" applyAlignment="1" applyProtection="1">
      <alignment vertical="center"/>
    </xf>
    <xf numFmtId="0" fontId="0" fillId="0" borderId="8" xfId="0" applyBorder="1" applyAlignment="1" applyProtection="1">
      <alignment vertical="center"/>
    </xf>
    <xf numFmtId="0" fontId="0" fillId="0" borderId="8" xfId="0" applyBorder="1" applyAlignment="1" applyProtection="1">
      <alignment horizontal="center" vertical="center"/>
    </xf>
    <xf numFmtId="0" fontId="0" fillId="0" borderId="9" xfId="0" applyBorder="1" applyAlignment="1" applyProtection="1">
      <alignment horizontal="center" vertical="center"/>
    </xf>
    <xf numFmtId="166" fontId="8" fillId="8" borderId="50" xfId="0" applyNumberFormat="1" applyFont="1" applyFill="1" applyBorder="1" applyAlignment="1" applyProtection="1">
      <alignment horizontal="center" vertical="center"/>
    </xf>
    <xf numFmtId="166" fontId="8" fillId="8" borderId="53" xfId="0" applyNumberFormat="1" applyFont="1" applyFill="1" applyBorder="1" applyAlignment="1" applyProtection="1">
      <alignment horizontal="center" vertical="center"/>
    </xf>
    <xf numFmtId="166" fontId="8" fillId="8" borderId="60" xfId="0" applyNumberFormat="1" applyFont="1" applyFill="1" applyBorder="1" applyAlignment="1" applyProtection="1">
      <alignment horizontal="center" vertical="center"/>
    </xf>
    <xf numFmtId="166" fontId="8" fillId="8" borderId="14" xfId="0" applyNumberFormat="1" applyFont="1" applyFill="1" applyBorder="1" applyAlignment="1" applyProtection="1">
      <alignment horizontal="center" vertical="center"/>
    </xf>
    <xf numFmtId="9" fontId="8" fillId="8" borderId="84" xfId="0" applyNumberFormat="1" applyFont="1" applyFill="1" applyBorder="1" applyAlignment="1" applyProtection="1">
      <alignment horizontal="center" vertical="center"/>
    </xf>
    <xf numFmtId="9" fontId="8" fillId="8" borderId="85" xfId="0" applyNumberFormat="1" applyFont="1" applyFill="1" applyBorder="1" applyAlignment="1" applyProtection="1">
      <alignment horizontal="center" vertical="center"/>
    </xf>
    <xf numFmtId="9" fontId="4" fillId="0" borderId="9" xfId="0" applyNumberFormat="1" applyFont="1" applyBorder="1" applyAlignment="1" applyProtection="1">
      <alignment horizontal="center"/>
    </xf>
    <xf numFmtId="9" fontId="0" fillId="0" borderId="0" xfId="0" applyNumberFormat="1" applyAlignment="1" applyProtection="1">
      <alignment horizontal="centerContinuous"/>
    </xf>
    <xf numFmtId="0" fontId="8" fillId="0" borderId="0" xfId="0" applyFont="1" applyAlignment="1" applyProtection="1">
      <alignment horizontal="right" vertical="center"/>
    </xf>
    <xf numFmtId="168" fontId="0" fillId="0" borderId="0" xfId="0" applyNumberFormat="1" applyProtection="1"/>
    <xf numFmtId="0" fontId="0" fillId="18" borderId="86" xfId="0" applyFill="1" applyBorder="1" applyAlignment="1" applyProtection="1">
      <alignment vertical="center"/>
    </xf>
    <xf numFmtId="0" fontId="6" fillId="0" borderId="3" xfId="0" applyFont="1" applyBorder="1" applyAlignment="1" applyProtection="1">
      <alignment horizontal="center" vertical="center" wrapText="1"/>
      <protection locked="0"/>
    </xf>
    <xf numFmtId="0" fontId="0" fillId="0" borderId="0" xfId="0" applyFill="1" applyBorder="1" applyAlignment="1" applyProtection="1">
      <alignment horizontal="center"/>
    </xf>
    <xf numFmtId="0" fontId="0" fillId="0" borderId="0" xfId="0" applyAlignment="1" applyProtection="1">
      <alignment horizontal="left"/>
    </xf>
    <xf numFmtId="0" fontId="0" fillId="0" borderId="72" xfId="0" applyFill="1" applyBorder="1" applyAlignment="1" applyProtection="1">
      <alignment horizontal="center"/>
    </xf>
    <xf numFmtId="0" fontId="0" fillId="0" borderId="33" xfId="0" applyFill="1" applyBorder="1" applyAlignment="1" applyProtection="1">
      <alignment horizontal="center"/>
    </xf>
    <xf numFmtId="0" fontId="0" fillId="0" borderId="87" xfId="0" applyFill="1" applyBorder="1" applyAlignment="1" applyProtection="1">
      <alignment horizontal="center"/>
    </xf>
    <xf numFmtId="0" fontId="0" fillId="0" borderId="42" xfId="0" applyFill="1" applyBorder="1" applyAlignment="1" applyProtection="1">
      <alignment horizontal="center"/>
    </xf>
    <xf numFmtId="0" fontId="45" fillId="0" borderId="0" xfId="0" applyFont="1" applyAlignment="1" applyProtection="1">
      <alignment horizontal="center"/>
    </xf>
    <xf numFmtId="0" fontId="0" fillId="0" borderId="0" xfId="0" applyAlignment="1" applyProtection="1">
      <alignment horizontal="center"/>
    </xf>
    <xf numFmtId="0" fontId="40" fillId="19" borderId="54" xfId="0" applyFont="1" applyFill="1" applyBorder="1" applyAlignment="1" applyProtection="1">
      <alignment horizontal="center"/>
    </xf>
    <xf numFmtId="0" fontId="0" fillId="0" borderId="43" xfId="0" applyFill="1" applyBorder="1" applyAlignment="1" applyProtection="1">
      <alignment horizontal="center"/>
    </xf>
    <xf numFmtId="0" fontId="0" fillId="0" borderId="88" xfId="0" applyBorder="1" applyAlignment="1" applyProtection="1">
      <alignment horizontal="center"/>
    </xf>
    <xf numFmtId="0" fontId="0" fillId="0" borderId="40" xfId="0" applyBorder="1" applyAlignment="1" applyProtection="1">
      <alignment horizontal="center"/>
    </xf>
    <xf numFmtId="0" fontId="0" fillId="0" borderId="89" xfId="0" applyBorder="1" applyAlignment="1" applyProtection="1">
      <alignment horizontal="center"/>
    </xf>
    <xf numFmtId="0" fontId="45" fillId="0" borderId="0" xfId="0" applyFont="1" applyAlignment="1" applyProtection="1">
      <alignment horizontal="left"/>
    </xf>
    <xf numFmtId="168" fontId="0" fillId="0" borderId="54" xfId="0" applyNumberFormat="1" applyBorder="1" applyAlignment="1" applyProtection="1">
      <alignment horizontal="center"/>
    </xf>
    <xf numFmtId="0" fontId="11" fillId="0" borderId="90" xfId="0" applyFont="1" applyBorder="1" applyAlignment="1" applyProtection="1">
      <alignment horizontal="center" vertical="center" wrapText="1" shrinkToFit="1"/>
    </xf>
    <xf numFmtId="168" fontId="1" fillId="20" borderId="8" xfId="0" applyNumberFormat="1" applyFont="1" applyFill="1" applyBorder="1" applyAlignment="1" applyProtection="1">
      <alignment horizontal="center"/>
    </xf>
    <xf numFmtId="0" fontId="0" fillId="0" borderId="21" xfId="0" applyBorder="1" applyProtection="1"/>
    <xf numFmtId="0" fontId="0" fillId="0" borderId="23" xfId="0" applyBorder="1" applyProtection="1"/>
    <xf numFmtId="49" fontId="6" fillId="0" borderId="0" xfId="0" applyNumberFormat="1" applyFont="1" applyFill="1" applyBorder="1" applyAlignment="1" applyProtection="1">
      <alignment horizontal="left" shrinkToFit="1"/>
    </xf>
    <xf numFmtId="0" fontId="3" fillId="9" borderId="141" xfId="0" applyFont="1" applyFill="1" applyBorder="1" applyAlignment="1" applyProtection="1">
      <alignment horizontal="center" vertical="center"/>
    </xf>
    <xf numFmtId="173" fontId="36" fillId="9" borderId="91" xfId="0" applyNumberFormat="1" applyFont="1" applyFill="1" applyBorder="1" applyAlignment="1" applyProtection="1">
      <alignment horizontal="center" vertical="center"/>
    </xf>
    <xf numFmtId="0" fontId="2" fillId="9" borderId="91" xfId="0" applyFont="1" applyFill="1" applyBorder="1" applyAlignment="1" applyProtection="1">
      <alignment horizontal="center" vertical="center"/>
    </xf>
    <xf numFmtId="0" fontId="2" fillId="9" borderId="141" xfId="0" applyFont="1" applyFill="1" applyBorder="1" applyAlignment="1" applyProtection="1">
      <alignment horizontal="center" vertical="center"/>
    </xf>
    <xf numFmtId="9" fontId="8" fillId="0" borderId="0" xfId="0" applyNumberFormat="1" applyFont="1" applyAlignment="1" applyProtection="1">
      <alignment vertical="center"/>
    </xf>
    <xf numFmtId="9" fontId="8" fillId="16" borderId="43" xfId="0" applyNumberFormat="1" applyFont="1" applyFill="1" applyBorder="1" applyAlignment="1" applyProtection="1">
      <alignment horizontal="center" vertical="center"/>
    </xf>
    <xf numFmtId="9" fontId="8" fillId="16" borderId="63" xfId="0" applyNumberFormat="1" applyFont="1" applyFill="1" applyBorder="1" applyAlignment="1" applyProtection="1">
      <alignment horizontal="center" vertical="center"/>
    </xf>
    <xf numFmtId="0" fontId="8" fillId="0" borderId="0" xfId="0" applyFont="1" applyFill="1" applyAlignment="1" applyProtection="1">
      <alignment vertical="center"/>
    </xf>
    <xf numFmtId="0" fontId="0" fillId="0" borderId="92" xfId="0" applyBorder="1" applyAlignment="1" applyProtection="1">
      <alignment horizontal="center"/>
    </xf>
    <xf numFmtId="0" fontId="37" fillId="0" borderId="0" xfId="0" applyFont="1" applyAlignment="1" applyProtection="1">
      <alignment horizontal="left" vertical="center"/>
    </xf>
    <xf numFmtId="174" fontId="8" fillId="0" borderId="93" xfId="0" applyNumberFormat="1" applyFont="1" applyBorder="1" applyAlignment="1" applyProtection="1">
      <alignment horizontal="center" vertical="center"/>
    </xf>
    <xf numFmtId="174" fontId="8" fillId="0" borderId="51" xfId="0" applyNumberFormat="1" applyFont="1" applyBorder="1" applyAlignment="1" applyProtection="1">
      <alignment horizontal="center" vertical="center"/>
    </xf>
    <xf numFmtId="174" fontId="8" fillId="0" borderId="77" xfId="0" applyNumberFormat="1" applyFont="1" applyBorder="1" applyAlignment="1" applyProtection="1">
      <alignment horizontal="center" vertical="center"/>
    </xf>
    <xf numFmtId="174" fontId="8" fillId="0" borderId="94" xfId="0" applyNumberFormat="1" applyFont="1" applyBorder="1" applyAlignment="1" applyProtection="1">
      <alignment horizontal="center" vertical="center"/>
    </xf>
    <xf numFmtId="174" fontId="8" fillId="0" borderId="54" xfId="0" applyNumberFormat="1" applyFont="1" applyBorder="1" applyAlignment="1" applyProtection="1">
      <alignment horizontal="center" vertical="center"/>
    </xf>
    <xf numFmtId="174" fontId="8" fillId="0" borderId="35" xfId="0" applyNumberFormat="1" applyFont="1" applyBorder="1" applyAlignment="1" applyProtection="1">
      <alignment horizontal="center" vertical="center"/>
    </xf>
    <xf numFmtId="174" fontId="8" fillId="0" borderId="20" xfId="0" applyNumberFormat="1" applyFont="1" applyBorder="1" applyAlignment="1" applyProtection="1">
      <alignment horizontal="center" vertical="center" shrinkToFit="1"/>
    </xf>
    <xf numFmtId="174" fontId="8" fillId="0" borderId="15" xfId="0" applyNumberFormat="1" applyFont="1" applyBorder="1" applyAlignment="1" applyProtection="1">
      <alignment horizontal="center" vertical="center" shrinkToFit="1"/>
    </xf>
    <xf numFmtId="174" fontId="8" fillId="0" borderId="16" xfId="0" applyNumberFormat="1" applyFont="1" applyBorder="1" applyAlignment="1" applyProtection="1">
      <alignment horizontal="center" vertical="center" shrinkToFit="1"/>
    </xf>
    <xf numFmtId="0" fontId="0" fillId="0" borderId="0" xfId="0" applyBorder="1" applyAlignment="1" applyProtection="1">
      <alignment horizontal="right"/>
    </xf>
    <xf numFmtId="168" fontId="0" fillId="0" borderId="95" xfId="0" applyNumberFormat="1" applyBorder="1" applyProtection="1"/>
    <xf numFmtId="0" fontId="0" fillId="0" borderId="95" xfId="0" applyBorder="1" applyProtection="1"/>
    <xf numFmtId="49" fontId="6" fillId="21" borderId="0" xfId="0" applyNumberFormat="1" applyFont="1" applyFill="1" applyBorder="1" applyAlignment="1" applyProtection="1">
      <alignment horizontal="left" shrinkToFit="1"/>
    </xf>
    <xf numFmtId="0" fontId="0" fillId="21" borderId="0" xfId="0" applyFill="1" applyAlignment="1" applyProtection="1">
      <alignment horizontal="centerContinuous"/>
    </xf>
    <xf numFmtId="0" fontId="0" fillId="0" borderId="0" xfId="0" applyFill="1" applyBorder="1" applyAlignment="1" applyProtection="1">
      <alignment horizontal="centerContinuous"/>
    </xf>
    <xf numFmtId="0" fontId="4" fillId="21" borderId="0" xfId="0" applyFont="1" applyFill="1" applyAlignment="1" applyProtection="1">
      <alignment horizontal="centerContinuous"/>
    </xf>
    <xf numFmtId="0" fontId="4" fillId="0" borderId="0" xfId="0" applyFont="1" applyAlignment="1" applyProtection="1">
      <alignment horizontal="centerContinuous"/>
      <protection locked="0"/>
    </xf>
    <xf numFmtId="0" fontId="0" fillId="0" borderId="0" xfId="0" applyAlignment="1" applyProtection="1">
      <alignment horizontal="centerContinuous"/>
      <protection locked="0"/>
    </xf>
    <xf numFmtId="0" fontId="39" fillId="21" borderId="142" xfId="0" applyFont="1" applyFill="1" applyBorder="1" applyProtection="1"/>
    <xf numFmtId="0" fontId="39" fillId="21" borderId="143" xfId="0" applyFont="1" applyFill="1" applyBorder="1" applyProtection="1"/>
    <xf numFmtId="0" fontId="40" fillId="21" borderId="144" xfId="0" applyFont="1" applyFill="1" applyBorder="1" applyAlignment="1" applyProtection="1">
      <alignment horizontal="center"/>
    </xf>
    <xf numFmtId="0" fontId="43" fillId="21" borderId="144" xfId="0" applyFont="1" applyFill="1" applyBorder="1" applyAlignment="1" applyProtection="1">
      <alignment horizontal="center"/>
    </xf>
    <xf numFmtId="0" fontId="43" fillId="21" borderId="3" xfId="0" applyFont="1" applyFill="1" applyBorder="1" applyAlignment="1" applyProtection="1">
      <alignment horizontal="center"/>
    </xf>
    <xf numFmtId="0" fontId="39" fillId="21" borderId="145" xfId="0" applyFont="1" applyFill="1" applyBorder="1" applyProtection="1"/>
    <xf numFmtId="0" fontId="39" fillId="21" borderId="146" xfId="0" applyFont="1" applyFill="1" applyBorder="1" applyProtection="1"/>
    <xf numFmtId="0" fontId="40" fillId="21" borderId="147" xfId="0" applyFont="1" applyFill="1" applyBorder="1" applyAlignment="1" applyProtection="1">
      <alignment horizontal="center"/>
    </xf>
    <xf numFmtId="0" fontId="43" fillId="21" borderId="147" xfId="0" applyFont="1" applyFill="1" applyBorder="1" applyAlignment="1" applyProtection="1">
      <alignment horizontal="center"/>
    </xf>
    <xf numFmtId="0" fontId="4" fillId="0" borderId="96" xfId="0" applyFont="1" applyBorder="1" applyAlignment="1" applyProtection="1">
      <alignment horizontal="center"/>
      <protection locked="0"/>
    </xf>
    <xf numFmtId="0" fontId="4" fillId="0" borderId="15" xfId="0" applyFont="1" applyBorder="1" applyAlignment="1" applyProtection="1">
      <alignment horizontal="center"/>
      <protection locked="0"/>
    </xf>
    <xf numFmtId="0" fontId="4" fillId="0" borderId="17" xfId="0" applyFont="1" applyBorder="1" applyAlignment="1" applyProtection="1">
      <alignment horizontal="center"/>
      <protection locked="0"/>
    </xf>
    <xf numFmtId="0" fontId="43" fillId="21" borderId="6" xfId="0" applyFont="1" applyFill="1" applyBorder="1" applyAlignment="1" applyProtection="1">
      <alignment horizontal="center"/>
    </xf>
    <xf numFmtId="0" fontId="40" fillId="0" borderId="0" xfId="0" applyFont="1" applyFill="1" applyBorder="1" applyAlignment="1" applyProtection="1">
      <alignment horizontal="center"/>
    </xf>
    <xf numFmtId="0" fontId="39" fillId="0" borderId="0" xfId="0" applyFont="1" applyFill="1" applyBorder="1" applyProtection="1"/>
    <xf numFmtId="0" fontId="39" fillId="21" borderId="148" xfId="0" applyFont="1" applyFill="1" applyBorder="1" applyProtection="1"/>
    <xf numFmtId="0" fontId="39" fillId="21" borderId="149" xfId="0" applyFont="1" applyFill="1" applyBorder="1" applyProtection="1"/>
    <xf numFmtId="0" fontId="39" fillId="21" borderId="150" xfId="0" applyFont="1" applyFill="1" applyBorder="1" applyAlignment="1" applyProtection="1">
      <alignment horizontal="center"/>
    </xf>
    <xf numFmtId="0" fontId="0" fillId="22" borderId="96" xfId="0" applyFill="1" applyBorder="1" applyAlignment="1" applyProtection="1">
      <alignment horizontal="center"/>
      <protection locked="0"/>
    </xf>
    <xf numFmtId="168" fontId="46" fillId="21" borderId="8" xfId="0" applyNumberFormat="1" applyFont="1" applyFill="1" applyBorder="1" applyAlignment="1" applyProtection="1">
      <alignment horizontal="center"/>
    </xf>
    <xf numFmtId="0" fontId="39" fillId="21" borderId="9" xfId="0" applyFont="1" applyFill="1" applyBorder="1" applyAlignment="1" applyProtection="1">
      <alignment horizontal="center"/>
    </xf>
    <xf numFmtId="166" fontId="39" fillId="21" borderId="9" xfId="0" applyNumberFormat="1" applyFont="1" applyFill="1" applyBorder="1" applyAlignment="1" applyProtection="1">
      <alignment horizontal="center"/>
    </xf>
    <xf numFmtId="9" fontId="4" fillId="0" borderId="19" xfId="0" applyNumberFormat="1" applyFont="1" applyFill="1" applyBorder="1" applyAlignment="1" applyProtection="1">
      <alignment horizontal="center"/>
    </xf>
    <xf numFmtId="168" fontId="39" fillId="0" borderId="0" xfId="0" applyNumberFormat="1" applyFont="1" applyFill="1" applyBorder="1" applyAlignment="1" applyProtection="1">
      <alignment horizontal="center"/>
    </xf>
    <xf numFmtId="0" fontId="39" fillId="0" borderId="0" xfId="0" applyFont="1" applyFill="1" applyBorder="1" applyAlignment="1" applyProtection="1">
      <alignment horizontal="center"/>
    </xf>
    <xf numFmtId="0" fontId="39" fillId="21" borderId="96" xfId="0" applyFont="1" applyFill="1" applyBorder="1" applyAlignment="1" applyProtection="1">
      <alignment horizontal="center"/>
    </xf>
    <xf numFmtId="0" fontId="39" fillId="21" borderId="15" xfId="0" applyFont="1" applyFill="1" applyBorder="1" applyAlignment="1" applyProtection="1">
      <alignment horizontal="center"/>
    </xf>
    <xf numFmtId="0" fontId="39" fillId="21" borderId="17" xfId="0" applyFont="1" applyFill="1" applyBorder="1" applyAlignment="1" applyProtection="1">
      <alignment horizontal="center"/>
    </xf>
    <xf numFmtId="168" fontId="39" fillId="21" borderId="17" xfId="0" applyNumberFormat="1" applyFont="1" applyFill="1" applyBorder="1" applyAlignment="1" applyProtection="1">
      <alignment horizontal="center"/>
    </xf>
    <xf numFmtId="0" fontId="0" fillId="0" borderId="0" xfId="0" applyBorder="1" applyAlignment="1" applyProtection="1">
      <alignment horizontal="center"/>
    </xf>
    <xf numFmtId="0" fontId="45" fillId="0" borderId="0" xfId="0" applyFont="1" applyBorder="1" applyProtection="1"/>
    <xf numFmtId="0" fontId="0" fillId="0" borderId="0" xfId="0" applyFont="1" applyBorder="1" applyProtection="1"/>
    <xf numFmtId="0" fontId="0" fillId="0" borderId="0" xfId="0" applyFont="1" applyBorder="1" applyAlignment="1" applyProtection="1">
      <alignment horizontal="centerContinuous"/>
    </xf>
    <xf numFmtId="0" fontId="0" fillId="0" borderId="0" xfId="0" applyFont="1" applyBorder="1" applyAlignment="1" applyProtection="1">
      <alignment horizontal="left" vertical="center"/>
    </xf>
    <xf numFmtId="0" fontId="47" fillId="0" borderId="0" xfId="0" applyFont="1" applyBorder="1" applyAlignment="1" applyProtection="1">
      <alignment horizontal="left"/>
    </xf>
    <xf numFmtId="9" fontId="0" fillId="0" borderId="0" xfId="0" quotePrefix="1" applyNumberFormat="1" applyBorder="1" applyProtection="1"/>
    <xf numFmtId="0" fontId="0" fillId="0" borderId="0" xfId="0" quotePrefix="1" applyBorder="1" applyProtection="1"/>
    <xf numFmtId="0" fontId="8" fillId="0" borderId="0" xfId="0" applyFont="1" applyBorder="1" applyAlignment="1" applyProtection="1">
      <alignment vertical="center" shrinkToFit="1"/>
    </xf>
    <xf numFmtId="9" fontId="8" fillId="0" borderId="0" xfId="0" quotePrefix="1" applyNumberFormat="1" applyFont="1" applyBorder="1" applyAlignment="1" applyProtection="1">
      <alignment horizontal="center" vertical="center"/>
    </xf>
    <xf numFmtId="9" fontId="8" fillId="0" borderId="40" xfId="0" applyNumberFormat="1" applyFont="1" applyBorder="1" applyAlignment="1" applyProtection="1">
      <alignment horizontal="center" vertical="center"/>
    </xf>
    <xf numFmtId="9" fontId="8" fillId="0" borderId="97" xfId="0" quotePrefix="1" applyNumberFormat="1" applyFont="1" applyBorder="1" applyAlignment="1" applyProtection="1">
      <alignment horizontal="center" vertical="center"/>
    </xf>
    <xf numFmtId="0" fontId="0" fillId="0" borderId="45" xfId="0" applyBorder="1" applyAlignment="1">
      <alignment horizontal="center" vertical="center"/>
    </xf>
    <xf numFmtId="0" fontId="0" fillId="0" borderId="98" xfId="0" applyBorder="1" applyAlignment="1">
      <alignment horizontal="center" vertical="center"/>
    </xf>
    <xf numFmtId="9" fontId="8" fillId="0" borderId="33" xfId="0" applyNumberFormat="1" applyFont="1" applyBorder="1" applyAlignment="1" applyProtection="1">
      <alignment horizontal="center" vertical="center"/>
    </xf>
    <xf numFmtId="9" fontId="8" fillId="0" borderId="0" xfId="0" applyNumberFormat="1" applyFont="1" applyBorder="1" applyAlignment="1" applyProtection="1">
      <alignment horizontal="center" vertical="center"/>
    </xf>
    <xf numFmtId="9" fontId="8" fillId="0" borderId="40" xfId="0" applyNumberFormat="1" applyFont="1" applyBorder="1" applyAlignment="1" applyProtection="1">
      <alignment vertical="center"/>
    </xf>
    <xf numFmtId="9" fontId="8" fillId="0" borderId="97" xfId="0" applyNumberFormat="1" applyFont="1" applyBorder="1" applyAlignment="1" applyProtection="1">
      <alignment horizontal="center" vertical="center"/>
    </xf>
    <xf numFmtId="0" fontId="8" fillId="0" borderId="100" xfId="0" applyFont="1" applyFill="1" applyBorder="1" applyAlignment="1" applyProtection="1">
      <alignment horizontal="left" vertical="center"/>
    </xf>
    <xf numFmtId="0" fontId="8" fillId="0" borderId="101" xfId="0" applyFont="1" applyFill="1" applyBorder="1" applyAlignment="1" applyProtection="1">
      <alignment vertical="center"/>
    </xf>
    <xf numFmtId="0" fontId="8" fillId="0" borderId="101" xfId="0" applyFont="1" applyFill="1" applyBorder="1" applyAlignment="1" applyProtection="1">
      <alignment horizontal="right" vertical="center"/>
    </xf>
    <xf numFmtId="0" fontId="8" fillId="0" borderId="102" xfId="0" applyFont="1" applyFill="1" applyBorder="1" applyAlignment="1" applyProtection="1">
      <alignment horizontal="right" vertical="center"/>
    </xf>
    <xf numFmtId="0" fontId="8" fillId="0" borderId="91" xfId="0" applyFont="1" applyBorder="1" applyAlignment="1" applyProtection="1">
      <alignment horizontal="center" vertical="center"/>
    </xf>
    <xf numFmtId="0" fontId="8" fillId="0" borderId="103" xfId="0" applyFont="1" applyBorder="1" applyAlignment="1" applyProtection="1">
      <alignment horizontal="center" vertical="center"/>
    </xf>
    <xf numFmtId="0" fontId="8" fillId="0" borderId="87" xfId="0" applyFont="1" applyBorder="1" applyAlignment="1" applyProtection="1">
      <alignment horizontal="center" vertical="center"/>
    </xf>
    <xf numFmtId="0" fontId="8" fillId="0" borderId="104" xfId="0" applyFont="1" applyBorder="1" applyAlignment="1" applyProtection="1">
      <alignment horizontal="center" vertical="center"/>
    </xf>
    <xf numFmtId="0" fontId="3" fillId="9" borderId="44" xfId="0" applyFont="1" applyFill="1" applyBorder="1" applyAlignment="1" applyProtection="1">
      <alignment horizontal="left" vertical="center"/>
    </xf>
    <xf numFmtId="0" fontId="3" fillId="9" borderId="45" xfId="0" applyFont="1" applyFill="1" applyBorder="1" applyAlignment="1" applyProtection="1">
      <alignment horizontal="left" vertical="center"/>
    </xf>
    <xf numFmtId="0" fontId="2" fillId="9" borderId="45" xfId="0" applyFont="1" applyFill="1" applyBorder="1" applyAlignment="1" applyProtection="1">
      <alignment horizontal="center" vertical="center"/>
    </xf>
    <xf numFmtId="3" fontId="2" fillId="9" borderId="97" xfId="0" applyNumberFormat="1" applyFont="1" applyFill="1" applyBorder="1" applyAlignment="1" applyProtection="1">
      <alignment horizontal="center" vertical="center"/>
    </xf>
    <xf numFmtId="3" fontId="2" fillId="9" borderId="45" xfId="0" applyNumberFormat="1" applyFont="1" applyFill="1" applyBorder="1" applyAlignment="1" applyProtection="1">
      <alignment horizontal="center" vertical="center"/>
    </xf>
    <xf numFmtId="3" fontId="2" fillId="9" borderId="98" xfId="0" applyNumberFormat="1" applyFont="1" applyFill="1" applyBorder="1" applyAlignment="1" applyProtection="1">
      <alignment horizontal="center" vertical="center"/>
    </xf>
    <xf numFmtId="0" fontId="2" fillId="9" borderId="97" xfId="0" applyFont="1" applyFill="1" applyBorder="1" applyAlignment="1" applyProtection="1">
      <alignment horizontal="center" vertical="center"/>
    </xf>
    <xf numFmtId="0" fontId="2" fillId="9" borderId="98" xfId="0" applyFont="1" applyFill="1" applyBorder="1" applyAlignment="1" applyProtection="1">
      <alignment horizontal="center" vertical="center"/>
    </xf>
    <xf numFmtId="0" fontId="2" fillId="9" borderId="105" xfId="0" applyFont="1" applyFill="1" applyBorder="1" applyAlignment="1" applyProtection="1">
      <alignment horizontal="center" vertical="center"/>
    </xf>
    <xf numFmtId="0" fontId="4" fillId="0" borderId="14" xfId="0" applyFont="1" applyBorder="1" applyAlignment="1" applyProtection="1">
      <alignment horizontal="center"/>
      <protection locked="0"/>
    </xf>
    <xf numFmtId="0" fontId="4" fillId="0" borderId="74" xfId="0" applyFont="1" applyBorder="1" applyAlignment="1" applyProtection="1">
      <alignment horizontal="centerContinuous"/>
      <protection locked="0"/>
    </xf>
    <xf numFmtId="0" fontId="0" fillId="0" borderId="74" xfId="0" applyBorder="1" applyAlignment="1" applyProtection="1">
      <alignment horizontal="centerContinuous"/>
      <protection locked="0"/>
    </xf>
    <xf numFmtId="0" fontId="4" fillId="0" borderId="8" xfId="0" applyFont="1" applyBorder="1" applyAlignment="1" applyProtection="1">
      <alignment horizontal="centerContinuous"/>
      <protection locked="0"/>
    </xf>
    <xf numFmtId="49" fontId="8" fillId="22" borderId="58" xfId="0" applyNumberFormat="1" applyFont="1" applyFill="1" applyBorder="1" applyAlignment="1" applyProtection="1">
      <alignment horizontal="left"/>
      <protection locked="0"/>
    </xf>
    <xf numFmtId="49" fontId="6" fillId="13" borderId="58" xfId="0" applyNumberFormat="1" applyFont="1" applyFill="1" applyBorder="1" applyAlignment="1" applyProtection="1">
      <alignment horizontal="left"/>
      <protection locked="0"/>
    </xf>
    <xf numFmtId="0" fontId="48" fillId="0" borderId="0" xfId="0" applyFont="1" applyFill="1" applyBorder="1" applyAlignment="1" applyProtection="1">
      <alignment horizontal="center" vertical="center"/>
    </xf>
    <xf numFmtId="0" fontId="48" fillId="0" borderId="0" xfId="0" applyFont="1" applyFill="1" applyBorder="1" applyAlignment="1" applyProtection="1">
      <alignment vertical="center"/>
    </xf>
    <xf numFmtId="0" fontId="0" fillId="0" borderId="9" xfId="0" applyFont="1" applyBorder="1" applyAlignment="1" applyProtection="1">
      <alignment horizontal="left" vertical="center" wrapText="1"/>
    </xf>
    <xf numFmtId="0" fontId="41" fillId="0" borderId="9" xfId="0" applyFont="1" applyBorder="1" applyAlignment="1" applyProtection="1">
      <alignment horizontal="left" vertical="center" wrapText="1"/>
    </xf>
    <xf numFmtId="0" fontId="11" fillId="0" borderId="9" xfId="0" applyFont="1" applyBorder="1" applyAlignment="1" applyProtection="1">
      <alignment horizontal="center" vertical="center"/>
    </xf>
    <xf numFmtId="0" fontId="0" fillId="0" borderId="9" xfId="0" applyBorder="1" applyAlignment="1" applyProtection="1">
      <alignment horizontal="left" vertical="center"/>
    </xf>
    <xf numFmtId="0" fontId="4" fillId="0" borderId="0" xfId="0" applyFont="1" applyAlignment="1" applyProtection="1">
      <alignment horizontal="centerContinuous" vertical="center"/>
    </xf>
    <xf numFmtId="0" fontId="0" fillId="0" borderId="0" xfId="0" applyAlignment="1" applyProtection="1">
      <alignment horizontal="centerContinuous" vertical="center"/>
    </xf>
    <xf numFmtId="0" fontId="4" fillId="0" borderId="0" xfId="0" applyFont="1" applyAlignment="1" applyProtection="1">
      <alignment vertical="center"/>
    </xf>
    <xf numFmtId="0" fontId="0" fillId="0" borderId="1" xfId="0" applyBorder="1" applyAlignment="1" applyProtection="1">
      <alignment vertical="center"/>
    </xf>
    <xf numFmtId="0" fontId="0" fillId="0" borderId="2" xfId="0" applyBorder="1" applyAlignment="1" applyProtection="1">
      <alignment vertical="center"/>
    </xf>
    <xf numFmtId="0" fontId="41" fillId="0" borderId="2" xfId="0" applyFont="1" applyBorder="1" applyAlignment="1" applyProtection="1">
      <alignment horizontal="center" vertical="center"/>
    </xf>
    <xf numFmtId="0" fontId="4" fillId="0" borderId="3" xfId="0" applyFont="1" applyBorder="1" applyAlignment="1" applyProtection="1">
      <alignment horizontal="center" vertical="center"/>
    </xf>
    <xf numFmtId="0" fontId="0" fillId="0" borderId="4" xfId="0" applyBorder="1" applyAlignment="1" applyProtection="1">
      <alignment vertical="center"/>
    </xf>
    <xf numFmtId="0" fontId="0" fillId="0" borderId="5" xfId="0" applyBorder="1" applyAlignment="1" applyProtection="1">
      <alignment vertical="center"/>
    </xf>
    <xf numFmtId="0" fontId="41" fillId="0" borderId="5"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14" xfId="0" applyFont="1" applyBorder="1" applyAlignment="1" applyProtection="1">
      <alignment horizontal="center" vertical="center"/>
    </xf>
    <xf numFmtId="0" fontId="4" fillId="0" borderId="15" xfId="0" applyFont="1" applyBorder="1" applyAlignment="1" applyProtection="1">
      <alignment horizontal="center" vertical="center"/>
    </xf>
    <xf numFmtId="0" fontId="4" fillId="0" borderId="17" xfId="0" applyFont="1" applyBorder="1" applyAlignment="1" applyProtection="1">
      <alignment horizontal="center" vertical="center"/>
    </xf>
    <xf numFmtId="0" fontId="0" fillId="0" borderId="14" xfId="0" applyFill="1" applyBorder="1" applyAlignment="1" applyProtection="1">
      <alignment horizontal="center" vertical="center"/>
    </xf>
    <xf numFmtId="0" fontId="0" fillId="0" borderId="15" xfId="0" applyFill="1" applyBorder="1" applyAlignment="1" applyProtection="1">
      <alignment horizontal="center" vertical="center"/>
    </xf>
    <xf numFmtId="0" fontId="0" fillId="0" borderId="17" xfId="0" applyFill="1" applyBorder="1" applyAlignment="1" applyProtection="1">
      <alignment horizontal="center" vertical="center"/>
    </xf>
    <xf numFmtId="9" fontId="4" fillId="0" borderId="9" xfId="0" applyNumberFormat="1" applyFont="1" applyBorder="1" applyAlignment="1" applyProtection="1">
      <alignment horizontal="center" vertical="center"/>
    </xf>
    <xf numFmtId="9" fontId="11" fillId="0" borderId="9" xfId="0" applyNumberFormat="1" applyFont="1" applyBorder="1" applyAlignment="1" applyProtection="1">
      <alignment horizontal="center" vertical="center"/>
    </xf>
    <xf numFmtId="0" fontId="0" fillId="0" borderId="14" xfId="0" applyBorder="1" applyAlignment="1" applyProtection="1">
      <alignment horizontal="center" vertical="center"/>
    </xf>
    <xf numFmtId="0" fontId="0" fillId="0" borderId="15" xfId="0" applyBorder="1" applyAlignment="1" applyProtection="1">
      <alignment horizontal="center" vertical="center"/>
    </xf>
    <xf numFmtId="0" fontId="0" fillId="0" borderId="17" xfId="0" applyBorder="1" applyAlignment="1" applyProtection="1">
      <alignment horizontal="center" vertical="center"/>
    </xf>
    <xf numFmtId="9" fontId="0" fillId="0" borderId="9" xfId="0" applyNumberFormat="1" applyBorder="1" applyAlignment="1" applyProtection="1">
      <alignment horizontal="center" vertical="center"/>
    </xf>
    <xf numFmtId="0" fontId="0" fillId="0" borderId="0" xfId="0" applyFill="1" applyBorder="1" applyAlignment="1" applyProtection="1">
      <alignment vertical="center"/>
    </xf>
    <xf numFmtId="0" fontId="0" fillId="2" borderId="7" xfId="0" applyFill="1" applyBorder="1" applyAlignment="1" applyProtection="1">
      <alignment horizontal="center" vertical="center"/>
    </xf>
    <xf numFmtId="1" fontId="0" fillId="0" borderId="0" xfId="0" applyNumberFormat="1" applyAlignment="1" applyProtection="1">
      <alignment horizontal="center" vertical="center"/>
    </xf>
    <xf numFmtId="0" fontId="0" fillId="0" borderId="0" xfId="0" applyFont="1" applyAlignment="1" applyProtection="1">
      <alignment horizontal="right" vertical="center" wrapText="1"/>
    </xf>
    <xf numFmtId="0" fontId="0" fillId="0" borderId="0" xfId="0" applyFont="1" applyAlignment="1" applyProtection="1">
      <alignment horizontal="right" vertical="center"/>
    </xf>
    <xf numFmtId="175" fontId="0" fillId="0" borderId="0" xfId="0" applyNumberFormat="1" applyFont="1" applyAlignment="1" applyProtection="1">
      <alignment horizontal="right" vertical="center"/>
    </xf>
    <xf numFmtId="175" fontId="0" fillId="0" borderId="0" xfId="0" applyNumberFormat="1" applyFont="1" applyAlignment="1" applyProtection="1">
      <alignment horizontal="right" vertical="center" wrapText="1"/>
    </xf>
    <xf numFmtId="175" fontId="0" fillId="0" borderId="0" xfId="0" applyNumberFormat="1" applyAlignment="1" applyProtection="1">
      <alignment horizontal="right" vertical="center"/>
    </xf>
    <xf numFmtId="0" fontId="0" fillId="0" borderId="0" xfId="0" applyAlignment="1" applyProtection="1">
      <alignment vertical="center"/>
    </xf>
    <xf numFmtId="0" fontId="0" fillId="0" borderId="0" xfId="0" applyAlignment="1">
      <alignment vertical="center" wrapText="1"/>
    </xf>
    <xf numFmtId="0" fontId="0" fillId="23" borderId="0" xfId="0" applyFill="1" applyAlignment="1" applyProtection="1">
      <alignment vertical="center"/>
    </xf>
    <xf numFmtId="0" fontId="0" fillId="23" borderId="0" xfId="0" applyFont="1" applyFill="1" applyAlignment="1" applyProtection="1">
      <alignment horizontal="left" vertical="center" wrapText="1"/>
    </xf>
    <xf numFmtId="0" fontId="0" fillId="23" borderId="0" xfId="0" applyFill="1"/>
    <xf numFmtId="0" fontId="0" fillId="23" borderId="0" xfId="0" applyFill="1" applyProtection="1"/>
    <xf numFmtId="0" fontId="0" fillId="23" borderId="0" xfId="0" applyFill="1" applyBorder="1" applyProtection="1"/>
    <xf numFmtId="0" fontId="8" fillId="23" borderId="0" xfId="0" applyFont="1" applyFill="1" applyAlignment="1" applyProtection="1">
      <alignment vertical="center"/>
    </xf>
    <xf numFmtId="0" fontId="8" fillId="23" borderId="0" xfId="0" applyFont="1" applyFill="1" applyBorder="1" applyAlignment="1" applyProtection="1">
      <alignment vertical="center"/>
    </xf>
    <xf numFmtId="0" fontId="13" fillId="23" borderId="0" xfId="0" applyFont="1" applyFill="1" applyAlignment="1" applyProtection="1">
      <alignment vertical="center"/>
    </xf>
    <xf numFmtId="14" fontId="11" fillId="23" borderId="21" xfId="0" applyNumberFormat="1" applyFont="1" applyFill="1" applyBorder="1" applyAlignment="1" applyProtection="1">
      <alignment horizontal="centerContinuous" vertical="center"/>
    </xf>
    <xf numFmtId="0" fontId="8" fillId="23" borderId="22" xfId="0" applyFont="1" applyFill="1" applyBorder="1" applyAlignment="1" applyProtection="1">
      <alignment horizontal="centerContinuous" vertical="center"/>
    </xf>
    <xf numFmtId="0" fontId="8" fillId="23" borderId="22" xfId="0" applyFont="1" applyFill="1" applyBorder="1" applyAlignment="1">
      <alignment horizontal="centerContinuous" vertical="center"/>
    </xf>
    <xf numFmtId="0" fontId="8" fillId="23" borderId="23" xfId="0" applyFont="1" applyFill="1" applyBorder="1" applyAlignment="1" applyProtection="1">
      <alignment horizontal="centerContinuous" vertical="center"/>
    </xf>
    <xf numFmtId="14" fontId="13" fillId="23" borderId="10" xfId="0" applyNumberFormat="1" applyFont="1" applyFill="1" applyBorder="1" applyAlignment="1" applyProtection="1">
      <alignment horizontal="left" vertical="center"/>
    </xf>
    <xf numFmtId="14" fontId="13" fillId="23" borderId="24" xfId="0" applyNumberFormat="1" applyFont="1" applyFill="1" applyBorder="1" applyAlignment="1" applyProtection="1">
      <alignment horizontal="centerContinuous" vertical="center"/>
    </xf>
    <xf numFmtId="0" fontId="8" fillId="23" borderId="24" xfId="0" applyFont="1" applyFill="1" applyBorder="1" applyAlignment="1" applyProtection="1">
      <alignment horizontal="centerContinuous" vertical="center"/>
    </xf>
    <xf numFmtId="14" fontId="13" fillId="23" borderId="24" xfId="0" applyNumberFormat="1" applyFont="1" applyFill="1" applyBorder="1" applyAlignment="1" applyProtection="1">
      <alignment horizontal="center" vertical="center"/>
    </xf>
    <xf numFmtId="0" fontId="8" fillId="23" borderId="11" xfId="0" applyFont="1" applyFill="1" applyBorder="1" applyAlignment="1" applyProtection="1">
      <alignment vertical="center"/>
    </xf>
    <xf numFmtId="0" fontId="33" fillId="23" borderId="0" xfId="0" applyFont="1" applyFill="1" applyAlignment="1" applyProtection="1">
      <alignment vertical="center"/>
    </xf>
    <xf numFmtId="14" fontId="11" fillId="23" borderId="25" xfId="0" applyNumberFormat="1" applyFont="1" applyFill="1" applyBorder="1" applyAlignment="1" applyProtection="1">
      <alignment horizontal="left" vertical="center"/>
    </xf>
    <xf numFmtId="0" fontId="8" fillId="23" borderId="0" xfId="0" applyFont="1" applyFill="1" applyBorder="1" applyAlignment="1">
      <alignment horizontal="left" vertical="center"/>
    </xf>
    <xf numFmtId="0" fontId="8" fillId="23" borderId="26" xfId="0" applyFont="1" applyFill="1" applyBorder="1" applyAlignment="1" applyProtection="1">
      <alignment vertical="center"/>
    </xf>
    <xf numFmtId="0" fontId="8" fillId="23" borderId="12" xfId="0" applyFont="1" applyFill="1" applyBorder="1" applyAlignment="1" applyProtection="1">
      <alignment vertical="center"/>
    </xf>
    <xf numFmtId="0" fontId="8" fillId="23" borderId="27" xfId="0" applyFont="1" applyFill="1" applyBorder="1" applyAlignment="1" applyProtection="1">
      <alignment vertical="center"/>
    </xf>
    <xf numFmtId="14" fontId="11" fillId="23" borderId="28" xfId="0" applyNumberFormat="1" applyFont="1" applyFill="1" applyBorder="1" applyAlignment="1" applyProtection="1">
      <alignment horizontal="left" vertical="center"/>
    </xf>
    <xf numFmtId="0" fontId="8" fillId="23" borderId="29" xfId="0" applyFont="1" applyFill="1" applyBorder="1" applyAlignment="1" applyProtection="1">
      <alignment vertical="center"/>
    </xf>
    <xf numFmtId="0" fontId="8" fillId="23" borderId="29" xfId="0" applyFont="1" applyFill="1" applyBorder="1" applyAlignment="1">
      <alignment horizontal="left" vertical="center"/>
    </xf>
    <xf numFmtId="0" fontId="8" fillId="23" borderId="30" xfId="0" applyFont="1" applyFill="1" applyBorder="1" applyAlignment="1" applyProtection="1">
      <alignment vertical="center"/>
    </xf>
    <xf numFmtId="0" fontId="8" fillId="23" borderId="13" xfId="0" applyFont="1" applyFill="1" applyBorder="1" applyAlignment="1" applyProtection="1">
      <alignment vertical="center"/>
    </xf>
    <xf numFmtId="0" fontId="13" fillId="0" borderId="0" xfId="0" applyFont="1" applyFill="1" applyAlignment="1" applyProtection="1">
      <alignment vertical="center"/>
    </xf>
    <xf numFmtId="14" fontId="11" fillId="23" borderId="0" xfId="0" applyNumberFormat="1" applyFont="1" applyFill="1" applyAlignment="1" applyProtection="1">
      <alignment horizontal="left" vertical="center"/>
    </xf>
    <xf numFmtId="0" fontId="18" fillId="23" borderId="0" xfId="0" applyFont="1" applyFill="1" applyAlignment="1" applyProtection="1">
      <alignment vertical="center"/>
    </xf>
    <xf numFmtId="14" fontId="11" fillId="0" borderId="0" xfId="0" applyNumberFormat="1" applyFont="1" applyFill="1" applyAlignment="1" applyProtection="1">
      <alignment horizontal="left" vertical="center"/>
    </xf>
    <xf numFmtId="0" fontId="18" fillId="0" borderId="0" xfId="0" applyFont="1" applyFill="1" applyAlignment="1" applyProtection="1">
      <alignment vertical="center"/>
    </xf>
    <xf numFmtId="0" fontId="0" fillId="0" borderId="0" xfId="0" applyFill="1" applyProtection="1"/>
    <xf numFmtId="0" fontId="0" fillId="0" borderId="0" xfId="0" applyFill="1" applyBorder="1" applyProtection="1"/>
    <xf numFmtId="0" fontId="0" fillId="0" borderId="0" xfId="0" applyFill="1" applyAlignment="1" applyProtection="1">
      <alignment horizontal="center"/>
    </xf>
    <xf numFmtId="0" fontId="0" fillId="0" borderId="0" xfId="0" applyFill="1" applyAlignment="1" applyProtection="1">
      <alignment horizontal="left"/>
    </xf>
    <xf numFmtId="0" fontId="0" fillId="0" borderId="0" xfId="0" applyFill="1" applyAlignment="1" applyProtection="1">
      <alignment horizontal="left" vertical="center"/>
    </xf>
    <xf numFmtId="0" fontId="0" fillId="0" borderId="0" xfId="0" applyFill="1" applyAlignment="1" applyProtection="1">
      <alignment vertical="center"/>
    </xf>
    <xf numFmtId="0" fontId="0" fillId="2" borderId="0" xfId="0" applyFont="1" applyFill="1" applyBorder="1" applyAlignment="1" applyProtection="1">
      <alignment horizontal="center" vertical="center" wrapText="1"/>
    </xf>
    <xf numFmtId="0" fontId="58" fillId="24" borderId="0" xfId="1" applyFill="1"/>
    <xf numFmtId="0" fontId="59" fillId="24" borderId="0" xfId="0" applyFont="1" applyFill="1" applyAlignment="1">
      <alignment horizontal="right"/>
    </xf>
    <xf numFmtId="0" fontId="60" fillId="0" borderId="0" xfId="0" applyFont="1" applyBorder="1" applyAlignment="1" applyProtection="1">
      <alignment horizontal="right"/>
    </xf>
    <xf numFmtId="0" fontId="60" fillId="0" borderId="0" xfId="0" applyFont="1" applyBorder="1" applyAlignment="1" applyProtection="1">
      <alignment horizontal="left"/>
    </xf>
    <xf numFmtId="0" fontId="64" fillId="0" borderId="31" xfId="0" applyFont="1" applyBorder="1" applyAlignment="1" applyProtection="1">
      <alignment vertical="center" shrinkToFit="1"/>
    </xf>
    <xf numFmtId="0" fontId="4" fillId="0" borderId="100" xfId="0" applyFont="1" applyBorder="1" applyAlignment="1" applyProtection="1">
      <alignment horizontal="centerContinuous"/>
    </xf>
    <xf numFmtId="0" fontId="0" fillId="0" borderId="101" xfId="0" applyBorder="1" applyAlignment="1" applyProtection="1">
      <alignment horizontal="centerContinuous"/>
    </xf>
    <xf numFmtId="0" fontId="0" fillId="0" borderId="153" xfId="0" applyBorder="1" applyAlignment="1" applyProtection="1">
      <alignment horizontal="centerContinuous"/>
    </xf>
    <xf numFmtId="0" fontId="4" fillId="4" borderId="31" xfId="0" applyFont="1" applyFill="1" applyBorder="1" applyAlignment="1" applyProtection="1">
      <alignment horizontal="centerContinuous"/>
    </xf>
    <xf numFmtId="0" fontId="0" fillId="4" borderId="0" xfId="0" applyFill="1" applyBorder="1" applyAlignment="1" applyProtection="1">
      <alignment horizontal="centerContinuous"/>
    </xf>
    <xf numFmtId="0" fontId="0" fillId="4" borderId="99" xfId="0" applyFill="1" applyBorder="1" applyAlignment="1" applyProtection="1">
      <alignment horizontal="centerContinuous"/>
    </xf>
    <xf numFmtId="0" fontId="0" fillId="0" borderId="31" xfId="0" applyBorder="1" applyProtection="1"/>
    <xf numFmtId="0" fontId="0" fillId="0" borderId="99" xfId="0" applyBorder="1" applyProtection="1"/>
    <xf numFmtId="0" fontId="0" fillId="0" borderId="31" xfId="0" applyBorder="1" applyAlignment="1" applyProtection="1">
      <alignment wrapText="1"/>
    </xf>
    <xf numFmtId="0" fontId="0" fillId="12" borderId="31" xfId="0" applyFill="1" applyBorder="1" applyAlignment="1" applyProtection="1">
      <alignment wrapText="1"/>
    </xf>
    <xf numFmtId="0" fontId="0" fillId="12" borderId="0" xfId="0" applyFill="1" applyBorder="1" applyAlignment="1" applyProtection="1">
      <alignment wrapText="1"/>
    </xf>
    <xf numFmtId="0" fontId="0" fillId="12" borderId="99" xfId="0" applyFill="1" applyBorder="1" applyAlignment="1" applyProtection="1">
      <alignment wrapText="1"/>
    </xf>
    <xf numFmtId="0" fontId="4" fillId="0" borderId="31" xfId="0" applyFont="1" applyBorder="1" applyAlignment="1" applyProtection="1">
      <alignment horizontal="centerContinuous"/>
    </xf>
    <xf numFmtId="0" fontId="0" fillId="0" borderId="0" xfId="0" applyBorder="1" applyAlignment="1" applyProtection="1">
      <alignment horizontal="centerContinuous"/>
    </xf>
    <xf numFmtId="0" fontId="0" fillId="0" borderId="99" xfId="0" applyBorder="1" applyAlignment="1" applyProtection="1">
      <alignment horizontal="centerContinuous"/>
    </xf>
    <xf numFmtId="0" fontId="0" fillId="0" borderId="0" xfId="0" applyBorder="1" applyAlignment="1" applyProtection="1"/>
    <xf numFmtId="0" fontId="0" fillId="0" borderId="0" xfId="0" applyBorder="1" applyAlignment="1" applyProtection="1">
      <alignment wrapText="1"/>
    </xf>
    <xf numFmtId="0" fontId="0" fillId="0" borderId="44" xfId="0" applyBorder="1" applyAlignment="1" applyProtection="1">
      <alignment wrapText="1"/>
    </xf>
    <xf numFmtId="0" fontId="0" fillId="0" borderId="45" xfId="0" applyBorder="1" applyAlignment="1" applyProtection="1">
      <alignment wrapText="1"/>
    </xf>
    <xf numFmtId="0" fontId="57" fillId="0" borderId="0" xfId="0" applyFont="1" applyAlignment="1">
      <alignment horizontal="right" vertical="top"/>
    </xf>
    <xf numFmtId="0" fontId="60" fillId="0" borderId="0" xfId="0" applyFont="1" applyAlignment="1">
      <alignment horizontal="right" vertical="top"/>
    </xf>
    <xf numFmtId="0" fontId="61" fillId="0" borderId="0" xfId="0" applyFont="1" applyAlignment="1" applyProtection="1">
      <alignment horizontal="right" vertical="center"/>
    </xf>
    <xf numFmtId="9" fontId="5" fillId="0" borderId="99" xfId="0" quotePrefix="1" applyNumberFormat="1" applyFont="1" applyBorder="1" applyAlignment="1" applyProtection="1">
      <alignment horizontal="right"/>
    </xf>
    <xf numFmtId="0" fontId="61" fillId="0" borderId="105" xfId="0" applyFont="1" applyBorder="1" applyAlignment="1" applyProtection="1">
      <alignment horizontal="right" vertical="center"/>
    </xf>
    <xf numFmtId="0" fontId="1" fillId="0" borderId="31" xfId="0" applyFont="1" applyBorder="1" applyAlignment="1" applyProtection="1">
      <alignment wrapText="1"/>
    </xf>
    <xf numFmtId="0" fontId="61" fillId="0" borderId="105" xfId="0" applyFont="1" applyBorder="1" applyAlignment="1" applyProtection="1">
      <alignment horizontal="right"/>
    </xf>
    <xf numFmtId="0" fontId="0" fillId="0" borderId="0" xfId="0" applyAlignment="1" applyProtection="1">
      <alignment vertical="center"/>
    </xf>
    <xf numFmtId="0" fontId="0" fillId="0" borderId="0" xfId="0" applyFill="1" applyAlignment="1" applyProtection="1"/>
    <xf numFmtId="0" fontId="0" fillId="0" borderId="0" xfId="0" applyAlignment="1" applyProtection="1"/>
    <xf numFmtId="0" fontId="72" fillId="0" borderId="0" xfId="0" applyFont="1" applyAlignment="1" applyProtection="1">
      <alignment vertical="center"/>
    </xf>
    <xf numFmtId="0" fontId="0" fillId="18" borderId="154" xfId="0" applyFill="1" applyBorder="1" applyAlignment="1" applyProtection="1">
      <alignment vertical="center"/>
    </xf>
    <xf numFmtId="0" fontId="40" fillId="14" borderId="155" xfId="0" applyFont="1" applyFill="1" applyBorder="1" applyAlignment="1" applyProtection="1">
      <alignment horizontal="center" vertical="center"/>
    </xf>
    <xf numFmtId="0" fontId="40" fillId="14" borderId="156" xfId="0" applyFont="1" applyFill="1" applyBorder="1" applyAlignment="1" applyProtection="1">
      <alignment horizontal="center" vertical="center"/>
    </xf>
    <xf numFmtId="0" fontId="0" fillId="18" borderId="157" xfId="0" applyFont="1" applyFill="1" applyBorder="1" applyAlignment="1" applyProtection="1">
      <alignment vertical="center"/>
    </xf>
    <xf numFmtId="0" fontId="74" fillId="0" borderId="0" xfId="0" applyFont="1" applyAlignment="1" applyProtection="1">
      <alignment horizontal="right" vertical="center"/>
    </xf>
    <xf numFmtId="0" fontId="75" fillId="25" borderId="158" xfId="0" applyFont="1" applyFill="1" applyBorder="1" applyAlignment="1" applyProtection="1">
      <alignment horizontal="centerContinuous"/>
    </xf>
    <xf numFmtId="0" fontId="76" fillId="25" borderId="159" xfId="0" applyFont="1" applyFill="1" applyBorder="1" applyAlignment="1" applyProtection="1">
      <alignment horizontal="centerContinuous"/>
    </xf>
    <xf numFmtId="0" fontId="76" fillId="25" borderId="160" xfId="0" applyFont="1" applyFill="1" applyBorder="1" applyAlignment="1" applyProtection="1">
      <alignment horizontal="centerContinuous"/>
    </xf>
    <xf numFmtId="0" fontId="77" fillId="25" borderId="161" xfId="0" applyFont="1" applyFill="1" applyBorder="1" applyAlignment="1" applyProtection="1">
      <alignment horizontal="centerContinuous" vertical="top"/>
    </xf>
    <xf numFmtId="0" fontId="76" fillId="25" borderId="162" xfId="0" applyFont="1" applyFill="1" applyBorder="1" applyAlignment="1" applyProtection="1">
      <alignment horizontal="centerContinuous" vertical="top"/>
    </xf>
    <xf numFmtId="0" fontId="76" fillId="25" borderId="163" xfId="0" applyFont="1" applyFill="1" applyBorder="1" applyAlignment="1" applyProtection="1">
      <alignment horizontal="centerContinuous" vertical="top"/>
    </xf>
    <xf numFmtId="0" fontId="8" fillId="22" borderId="58" xfId="0" applyNumberFormat="1" applyFont="1" applyFill="1" applyBorder="1" applyAlignment="1" applyProtection="1">
      <alignment horizontal="left"/>
      <protection locked="0"/>
    </xf>
    <xf numFmtId="0" fontId="70" fillId="24" borderId="0" xfId="2" applyFill="1" applyAlignment="1">
      <alignment horizontal="center" vertical="center"/>
    </xf>
    <xf numFmtId="0" fontId="35" fillId="0" borderId="0" xfId="0" applyFont="1" applyFill="1" applyBorder="1" applyAlignment="1" applyProtection="1">
      <alignment horizontal="center" vertical="center" wrapText="1"/>
    </xf>
    <xf numFmtId="0" fontId="49" fillId="0" borderId="0" xfId="0" applyFont="1" applyAlignment="1" applyProtection="1">
      <alignment horizontal="center" vertical="center" wrapText="1"/>
    </xf>
    <xf numFmtId="0" fontId="1" fillId="0" borderId="0" xfId="0" applyFont="1" applyAlignment="1" applyProtection="1">
      <alignment vertical="center" wrapText="1"/>
    </xf>
    <xf numFmtId="0" fontId="0" fillId="0" borderId="0" xfId="0" applyAlignment="1" applyProtection="1">
      <alignment vertical="center" wrapText="1"/>
    </xf>
    <xf numFmtId="0" fontId="0" fillId="0" borderId="0" xfId="0" applyAlignment="1" applyProtection="1">
      <alignment vertical="center"/>
    </xf>
    <xf numFmtId="0" fontId="6" fillId="0" borderId="58" xfId="0" applyFont="1" applyBorder="1" applyAlignment="1" applyProtection="1">
      <alignment vertical="center" shrinkToFit="1"/>
      <protection locked="0"/>
    </xf>
    <xf numFmtId="164" fontId="6" fillId="0" borderId="74" xfId="0" applyNumberFormat="1" applyFont="1" applyBorder="1" applyAlignment="1" applyProtection="1">
      <alignment horizontal="left" vertical="center" shrinkToFit="1"/>
      <protection locked="0"/>
    </xf>
    <xf numFmtId="0" fontId="0" fillId="0" borderId="74" xfId="0" applyBorder="1" applyAlignment="1" applyProtection="1">
      <alignment horizontal="left" vertical="center" shrinkToFit="1"/>
      <protection locked="0"/>
    </xf>
    <xf numFmtId="0" fontId="4" fillId="0" borderId="7" xfId="0" applyFont="1" applyBorder="1" applyAlignment="1" applyProtection="1">
      <alignment horizontal="center" vertical="center"/>
    </xf>
    <xf numFmtId="0" fontId="4" fillId="0" borderId="74" xfId="0" applyFont="1" applyBorder="1" applyAlignment="1" applyProtection="1">
      <alignment horizontal="center" vertical="center"/>
    </xf>
    <xf numFmtId="0" fontId="0" fillId="0" borderId="74" xfId="0" applyBorder="1" applyAlignment="1" applyProtection="1">
      <alignment horizontal="center" vertical="center"/>
    </xf>
    <xf numFmtId="0" fontId="4" fillId="0" borderId="8" xfId="0" applyFont="1" applyBorder="1" applyAlignment="1" applyProtection="1">
      <alignment horizontal="center" vertical="center"/>
    </xf>
    <xf numFmtId="0" fontId="63" fillId="25" borderId="100" xfId="0" applyFont="1" applyFill="1" applyBorder="1" applyAlignment="1" applyProtection="1">
      <alignment horizontal="center"/>
    </xf>
    <xf numFmtId="0" fontId="48" fillId="25" borderId="101" xfId="0" applyFont="1" applyFill="1" applyBorder="1" applyAlignment="1">
      <alignment horizontal="center"/>
    </xf>
    <xf numFmtId="0" fontId="48" fillId="25" borderId="153" xfId="0" applyFont="1" applyFill="1" applyBorder="1" applyAlignment="1">
      <alignment horizontal="center"/>
    </xf>
    <xf numFmtId="0" fontId="65" fillId="25" borderId="44" xfId="0" applyFont="1" applyFill="1" applyBorder="1" applyAlignment="1" applyProtection="1">
      <alignment horizontal="center" vertical="top"/>
    </xf>
    <xf numFmtId="0" fontId="66" fillId="25" borderId="45" xfId="0" applyFont="1" applyFill="1" applyBorder="1" applyAlignment="1">
      <alignment horizontal="center" vertical="top"/>
    </xf>
    <xf numFmtId="0" fontId="66" fillId="25" borderId="105" xfId="0" applyFont="1" applyFill="1" applyBorder="1" applyAlignment="1">
      <alignment horizontal="center" vertical="top"/>
    </xf>
    <xf numFmtId="0" fontId="0" fillId="0" borderId="31" xfId="0" applyBorder="1" applyAlignment="1" applyProtection="1">
      <alignment vertical="top" wrapText="1"/>
    </xf>
    <xf numFmtId="0" fontId="0" fillId="0" borderId="0" xfId="0" applyBorder="1" applyAlignment="1" applyProtection="1">
      <alignment vertical="top" wrapText="1"/>
    </xf>
    <xf numFmtId="0" fontId="0" fillId="0" borderId="99" xfId="0" applyBorder="1" applyAlignment="1" applyProtection="1">
      <alignment vertical="top" wrapText="1"/>
    </xf>
    <xf numFmtId="0" fontId="0" fillId="0" borderId="31" xfId="0" applyBorder="1" applyAlignment="1" applyProtection="1">
      <alignment wrapText="1"/>
    </xf>
    <xf numFmtId="0" fontId="0" fillId="0" borderId="0" xfId="0" applyBorder="1" applyAlignment="1" applyProtection="1">
      <alignment wrapText="1"/>
    </xf>
    <xf numFmtId="0" fontId="0" fillId="0" borderId="99" xfId="0" applyBorder="1" applyAlignment="1" applyProtection="1">
      <alignment wrapText="1"/>
    </xf>
    <xf numFmtId="0" fontId="0" fillId="0" borderId="0" xfId="0" applyBorder="1" applyAlignment="1">
      <alignment wrapText="1"/>
    </xf>
    <xf numFmtId="0" fontId="0" fillId="0" borderId="99" xfId="0" applyBorder="1" applyAlignment="1">
      <alignment wrapText="1"/>
    </xf>
    <xf numFmtId="0" fontId="1" fillId="0" borderId="31" xfId="0" applyFont="1" applyBorder="1" applyAlignment="1" applyProtection="1">
      <alignment wrapText="1"/>
    </xf>
    <xf numFmtId="0" fontId="0" fillId="0" borderId="31" xfId="2" applyFont="1" applyBorder="1" applyAlignment="1" applyProtection="1">
      <alignment wrapText="1"/>
    </xf>
    <xf numFmtId="0" fontId="71" fillId="0" borderId="0" xfId="2" applyFont="1" applyAlignment="1">
      <alignment wrapText="1"/>
    </xf>
    <xf numFmtId="0" fontId="50" fillId="0" borderId="0" xfId="0" applyFont="1" applyBorder="1" applyAlignment="1" applyProtection="1"/>
    <xf numFmtId="0" fontId="0" fillId="0" borderId="0" xfId="0" applyBorder="1" applyAlignment="1"/>
    <xf numFmtId="0" fontId="0" fillId="0" borderId="99" xfId="0" applyBorder="1" applyAlignment="1"/>
    <xf numFmtId="0" fontId="50" fillId="0" borderId="0" xfId="0" applyFont="1" applyBorder="1" applyAlignment="1" applyProtection="1">
      <alignment horizontal="left"/>
    </xf>
    <xf numFmtId="9" fontId="22" fillId="15" borderId="3" xfId="0" applyNumberFormat="1" applyFont="1" applyFill="1" applyBorder="1" applyAlignment="1" applyProtection="1">
      <alignment horizontal="center" wrapText="1"/>
    </xf>
    <xf numFmtId="9" fontId="51" fillId="15" borderId="6" xfId="0" applyNumberFormat="1" applyFont="1" applyFill="1" applyBorder="1" applyAlignment="1" applyProtection="1">
      <alignment horizontal="center" wrapText="1"/>
    </xf>
    <xf numFmtId="0" fontId="0" fillId="0" borderId="0" xfId="0" applyAlignment="1" applyProtection="1"/>
    <xf numFmtId="0" fontId="6" fillId="13" borderId="58" xfId="0" applyFont="1" applyFill="1" applyBorder="1" applyAlignment="1" applyProtection="1">
      <alignment wrapText="1"/>
      <protection locked="0"/>
    </xf>
    <xf numFmtId="14" fontId="6" fillId="13" borderId="74" xfId="0" applyNumberFormat="1" applyFont="1" applyFill="1" applyBorder="1" applyAlignment="1" applyProtection="1">
      <alignment horizontal="left" shrinkToFit="1"/>
      <protection locked="0"/>
    </xf>
    <xf numFmtId="0" fontId="52" fillId="0" borderId="65" xfId="0" applyFont="1" applyFill="1" applyBorder="1" applyAlignment="1" applyProtection="1">
      <alignment horizontal="right"/>
    </xf>
    <xf numFmtId="0" fontId="52" fillId="0" borderId="65" xfId="0" applyFont="1" applyBorder="1" applyAlignment="1" applyProtection="1">
      <alignment horizontal="right"/>
    </xf>
    <xf numFmtId="0" fontId="52" fillId="0" borderId="0" xfId="0" applyFont="1" applyAlignment="1" applyProtection="1">
      <alignment horizontal="right"/>
    </xf>
    <xf numFmtId="0" fontId="52" fillId="0" borderId="0" xfId="0" applyFont="1" applyAlignment="1" applyProtection="1">
      <alignment horizontal="right" vertical="center"/>
    </xf>
    <xf numFmtId="0" fontId="0" fillId="0" borderId="0" xfId="0" applyAlignment="1" applyProtection="1">
      <alignment horizontal="right" vertical="center"/>
    </xf>
    <xf numFmtId="0" fontId="22" fillId="15" borderId="3" xfId="0" applyFont="1" applyFill="1" applyBorder="1" applyAlignment="1" applyProtection="1">
      <alignment horizontal="center" wrapText="1"/>
    </xf>
    <xf numFmtId="0" fontId="51" fillId="15" borderId="6" xfId="0" applyFont="1" applyFill="1" applyBorder="1" applyAlignment="1" applyProtection="1">
      <alignment horizontal="center" wrapText="1"/>
    </xf>
    <xf numFmtId="0" fontId="4" fillId="0" borderId="0" xfId="0" applyFont="1" applyFill="1" applyAlignment="1" applyProtection="1">
      <alignment horizontal="left"/>
    </xf>
    <xf numFmtId="0" fontId="0" fillId="0" borderId="0" xfId="0" applyFill="1" applyAlignment="1" applyProtection="1"/>
    <xf numFmtId="0" fontId="43" fillId="21" borderId="0" xfId="0" applyFont="1" applyFill="1" applyAlignment="1" applyProtection="1">
      <alignment horizontal="left"/>
    </xf>
    <xf numFmtId="0" fontId="39" fillId="21" borderId="0" xfId="0" applyFont="1" applyFill="1" applyAlignment="1" applyProtection="1"/>
    <xf numFmtId="0" fontId="22" fillId="0" borderId="19" xfId="0" applyFont="1" applyFill="1" applyBorder="1" applyAlignment="1" applyProtection="1">
      <alignment horizontal="center" wrapText="1"/>
    </xf>
    <xf numFmtId="0" fontId="51" fillId="0" borderId="19" xfId="0" applyFont="1" applyFill="1" applyBorder="1" applyAlignment="1" applyProtection="1">
      <alignment horizontal="center" wrapText="1"/>
    </xf>
    <xf numFmtId="49" fontId="6" fillId="21" borderId="58" xfId="0" applyNumberFormat="1" applyFont="1" applyFill="1" applyBorder="1" applyAlignment="1" applyProtection="1">
      <alignment horizontal="left" shrinkToFit="1"/>
    </xf>
    <xf numFmtId="0" fontId="11" fillId="0" borderId="0" xfId="0" applyFont="1" applyAlignment="1" applyProtection="1">
      <alignment horizontal="center" vertical="center"/>
    </xf>
    <xf numFmtId="0" fontId="0" fillId="0" borderId="0" xfId="0" applyAlignment="1">
      <alignment horizontal="center" vertical="center"/>
    </xf>
    <xf numFmtId="0" fontId="0" fillId="0" borderId="0" xfId="0" applyAlignment="1">
      <alignment vertical="center"/>
    </xf>
    <xf numFmtId="14" fontId="11" fillId="0" borderId="0" xfId="0" applyNumberFormat="1" applyFont="1" applyAlignment="1" applyProtection="1">
      <alignment horizontal="center" vertical="center"/>
    </xf>
    <xf numFmtId="165" fontId="8" fillId="16" borderId="35" xfId="0" applyNumberFormat="1" applyFont="1" applyFill="1" applyBorder="1" applyAlignment="1" applyProtection="1">
      <alignment horizontal="center" vertical="center"/>
    </xf>
    <xf numFmtId="165" fontId="0" fillId="16" borderId="107" xfId="0" applyNumberFormat="1" applyFill="1" applyBorder="1" applyAlignment="1">
      <alignment vertical="center"/>
    </xf>
    <xf numFmtId="165" fontId="8" fillId="16" borderId="16" xfId="0" applyNumberFormat="1" applyFont="1" applyFill="1" applyBorder="1" applyAlignment="1" applyProtection="1">
      <alignment horizontal="center" vertical="center"/>
    </xf>
    <xf numFmtId="165" fontId="0" fillId="16" borderId="96" xfId="0" applyNumberFormat="1" applyFill="1" applyBorder="1" applyAlignment="1">
      <alignment vertical="center"/>
    </xf>
    <xf numFmtId="0" fontId="9" fillId="0" borderId="7" xfId="0" applyFont="1" applyBorder="1" applyAlignment="1" applyProtection="1">
      <alignment horizontal="center" vertical="center" wrapText="1" shrinkToFit="1"/>
    </xf>
    <xf numFmtId="0" fontId="10" fillId="0" borderId="74" xfId="0" applyFont="1" applyBorder="1" applyAlignment="1" applyProtection="1">
      <alignment horizontal="center" vertical="center" wrapText="1" shrinkToFit="1"/>
    </xf>
    <xf numFmtId="0" fontId="10" fillId="0" borderId="96" xfId="0" applyFont="1" applyBorder="1" applyAlignment="1" applyProtection="1">
      <alignment horizontal="center" vertical="center" wrapText="1" shrinkToFit="1"/>
    </xf>
    <xf numFmtId="0" fontId="9" fillId="16" borderId="109" xfId="0" applyFont="1" applyFill="1" applyBorder="1" applyAlignment="1" applyProtection="1">
      <alignment horizontal="center" vertical="center" wrapText="1"/>
    </xf>
    <xf numFmtId="0" fontId="0" fillId="16" borderId="110" xfId="0" applyFill="1" applyBorder="1" applyAlignment="1">
      <alignment vertical="center" wrapText="1"/>
    </xf>
    <xf numFmtId="0" fontId="10" fillId="16" borderId="111" xfId="0" applyFont="1" applyFill="1" applyBorder="1" applyAlignment="1" applyProtection="1">
      <alignment horizontal="center" vertical="center" wrapText="1"/>
    </xf>
    <xf numFmtId="0" fontId="0" fillId="16" borderId="112" xfId="0" applyFill="1" applyBorder="1" applyAlignment="1">
      <alignment vertical="center" wrapText="1"/>
    </xf>
    <xf numFmtId="165" fontId="8" fillId="16" borderId="77" xfId="0" applyNumberFormat="1" applyFont="1" applyFill="1" applyBorder="1" applyAlignment="1" applyProtection="1">
      <alignment horizontal="center" vertical="center"/>
    </xf>
    <xf numFmtId="165" fontId="0" fillId="16" borderId="113" xfId="0" applyNumberFormat="1" applyFill="1" applyBorder="1" applyAlignment="1">
      <alignment vertical="center"/>
    </xf>
    <xf numFmtId="0" fontId="20" fillId="9" borderId="4" xfId="0" applyFont="1" applyFill="1" applyBorder="1" applyAlignment="1" applyProtection="1">
      <alignment horizontal="center" vertical="center"/>
    </xf>
    <xf numFmtId="0" fontId="0" fillId="0" borderId="58" xfId="0" applyBorder="1" applyAlignment="1">
      <alignment horizontal="center" vertical="center"/>
    </xf>
    <xf numFmtId="9" fontId="8" fillId="16" borderId="16" xfId="0" quotePrefix="1" applyNumberFormat="1" applyFont="1" applyFill="1" applyBorder="1" applyAlignment="1" applyProtection="1">
      <alignment horizontal="center" vertical="center"/>
    </xf>
    <xf numFmtId="0" fontId="0" fillId="16" borderId="74" xfId="0" applyFill="1" applyBorder="1" applyAlignment="1">
      <alignment horizontal="center" vertical="center"/>
    </xf>
    <xf numFmtId="165" fontId="8" fillId="16" borderId="79" xfId="0" applyNumberFormat="1" applyFont="1" applyFill="1" applyBorder="1" applyAlignment="1" applyProtection="1">
      <alignment horizontal="center" vertical="center"/>
    </xf>
    <xf numFmtId="165" fontId="0" fillId="16" borderId="108" xfId="0" applyNumberFormat="1" applyFill="1" applyBorder="1" applyAlignment="1">
      <alignment vertical="center"/>
    </xf>
    <xf numFmtId="9" fontId="8" fillId="8" borderId="16" xfId="0" applyNumberFormat="1" applyFont="1" applyFill="1" applyBorder="1" applyAlignment="1" applyProtection="1">
      <alignment horizontal="center" vertical="center"/>
    </xf>
    <xf numFmtId="0" fontId="0" fillId="0" borderId="117" xfId="0" applyBorder="1" applyAlignment="1">
      <alignment horizontal="center" vertical="center"/>
    </xf>
    <xf numFmtId="9" fontId="8" fillId="8" borderId="77" xfId="0" applyNumberFormat="1" applyFont="1" applyFill="1" applyBorder="1" applyAlignment="1" applyProtection="1">
      <alignment horizontal="center" vertical="center"/>
    </xf>
    <xf numFmtId="0" fontId="0" fillId="0" borderId="120" xfId="0" applyBorder="1" applyAlignment="1">
      <alignment horizontal="center" vertical="center"/>
    </xf>
    <xf numFmtId="9" fontId="8" fillId="8" borderId="35" xfId="0" applyNumberFormat="1" applyFont="1" applyFill="1" applyBorder="1" applyAlignment="1" applyProtection="1">
      <alignment horizontal="center" vertical="center"/>
    </xf>
    <xf numFmtId="0" fontId="0" fillId="0" borderId="121" xfId="0" applyBorder="1" applyAlignment="1">
      <alignment horizontal="center" vertical="center"/>
    </xf>
    <xf numFmtId="0" fontId="11" fillId="0" borderId="114" xfId="0" applyFont="1" applyBorder="1" applyAlignment="1" applyProtection="1">
      <alignment horizontal="center" vertical="center" shrinkToFit="1"/>
    </xf>
    <xf numFmtId="0" fontId="0" fillId="0" borderId="74" xfId="0" applyBorder="1" applyAlignment="1">
      <alignment horizontal="center" vertical="center" shrinkToFit="1"/>
    </xf>
    <xf numFmtId="0" fontId="9" fillId="0" borderId="114" xfId="0" applyFont="1" applyBorder="1" applyAlignment="1" applyProtection="1">
      <alignment horizontal="center" vertical="center" wrapText="1" shrinkToFit="1"/>
    </xf>
    <xf numFmtId="0" fontId="9" fillId="8" borderId="115" xfId="0" applyFont="1" applyFill="1" applyBorder="1" applyAlignment="1" applyProtection="1">
      <alignment horizontal="center" vertical="center" wrapText="1"/>
    </xf>
    <xf numFmtId="0" fontId="53" fillId="0" borderId="116" xfId="0" applyFont="1" applyBorder="1" applyAlignment="1">
      <alignment horizontal="center" vertical="center" wrapText="1"/>
    </xf>
    <xf numFmtId="0" fontId="9" fillId="8" borderId="109" xfId="0" applyFont="1" applyFill="1" applyBorder="1" applyAlignment="1" applyProtection="1">
      <alignment horizontal="center" vertical="center" wrapText="1"/>
    </xf>
    <xf numFmtId="0" fontId="53" fillId="0" borderId="122" xfId="0" applyFont="1" applyBorder="1" applyAlignment="1">
      <alignment horizontal="center" vertical="center"/>
    </xf>
    <xf numFmtId="0" fontId="53" fillId="0" borderId="111" xfId="0" applyFont="1" applyBorder="1" applyAlignment="1">
      <alignment horizontal="center" vertical="center"/>
    </xf>
    <xf numFmtId="0" fontId="53" fillId="0" borderId="59" xfId="0" applyFont="1" applyBorder="1" applyAlignment="1">
      <alignment horizontal="center" vertical="center"/>
    </xf>
    <xf numFmtId="9" fontId="8" fillId="8" borderId="79" xfId="0" applyNumberFormat="1" applyFont="1" applyFill="1" applyBorder="1" applyAlignment="1" applyProtection="1">
      <alignment horizontal="center" vertical="center"/>
    </xf>
    <xf numFmtId="0" fontId="0" fillId="0" borderId="123" xfId="0" applyBorder="1" applyAlignment="1">
      <alignment horizontal="center" vertical="center"/>
    </xf>
    <xf numFmtId="0" fontId="11" fillId="0" borderId="74" xfId="0" applyFont="1" applyBorder="1" applyAlignment="1" applyProtection="1">
      <alignment horizontal="center" vertical="center" shrinkToFit="1"/>
    </xf>
    <xf numFmtId="0" fontId="8" fillId="0" borderId="74" xfId="0" applyFont="1" applyBorder="1" applyAlignment="1" applyProtection="1">
      <alignment horizontal="center" vertical="center" shrinkToFit="1"/>
    </xf>
    <xf numFmtId="0" fontId="0" fillId="0" borderId="117" xfId="0" applyBorder="1" applyAlignment="1">
      <alignment horizontal="center" vertical="center" shrinkToFit="1"/>
    </xf>
    <xf numFmtId="3" fontId="8" fillId="0" borderId="79" xfId="0" applyNumberFormat="1" applyFont="1" applyBorder="1" applyAlignment="1" applyProtection="1">
      <alignment horizontal="center" vertical="center"/>
    </xf>
    <xf numFmtId="0" fontId="0" fillId="0" borderId="108" xfId="0" applyBorder="1" applyAlignment="1">
      <alignment horizontal="center" vertical="center"/>
    </xf>
    <xf numFmtId="3" fontId="8" fillId="0" borderId="16" xfId="0" applyNumberFormat="1" applyFont="1" applyBorder="1" applyAlignment="1" applyProtection="1">
      <alignment horizontal="center" vertical="center"/>
    </xf>
    <xf numFmtId="0" fontId="0" fillId="0" borderId="96" xfId="0" applyBorder="1" applyAlignment="1">
      <alignment horizontal="center" vertical="center"/>
    </xf>
    <xf numFmtId="0" fontId="9" fillId="8" borderId="118" xfId="0" applyFont="1" applyFill="1" applyBorder="1" applyAlignment="1" applyProtection="1">
      <alignment horizontal="center" vertical="center" wrapText="1"/>
    </xf>
    <xf numFmtId="0" fontId="53" fillId="0" borderId="119" xfId="0" applyFont="1" applyBorder="1" applyAlignment="1">
      <alignment horizontal="center" vertical="center"/>
    </xf>
    <xf numFmtId="0" fontId="68" fillId="0" borderId="0" xfId="0" quotePrefix="1" applyFont="1" applyAlignment="1" applyProtection="1">
      <alignment horizontal="right"/>
    </xf>
    <xf numFmtId="0" fontId="69" fillId="0" borderId="0" xfId="0" applyFont="1" applyAlignment="1">
      <alignment horizontal="right"/>
    </xf>
    <xf numFmtId="0" fontId="9" fillId="10" borderId="109" xfId="0" applyFont="1" applyFill="1" applyBorder="1" applyAlignment="1" applyProtection="1">
      <alignment horizontal="center" vertical="center" wrapText="1"/>
    </xf>
    <xf numFmtId="0" fontId="0" fillId="0" borderId="110" xfId="0" applyBorder="1" applyAlignment="1">
      <alignment vertical="center" wrapText="1"/>
    </xf>
    <xf numFmtId="0" fontId="10" fillId="10" borderId="111" xfId="0" applyFont="1" applyFill="1" applyBorder="1" applyAlignment="1" applyProtection="1">
      <alignment horizontal="center" vertical="center" wrapText="1"/>
    </xf>
    <xf numFmtId="0" fontId="0" fillId="0" borderId="112" xfId="0" applyBorder="1" applyAlignment="1">
      <alignment vertical="center" wrapText="1"/>
    </xf>
    <xf numFmtId="3" fontId="8" fillId="10" borderId="35" xfId="0" quotePrefix="1" applyNumberFormat="1" applyFont="1" applyFill="1" applyBorder="1" applyAlignment="1" applyProtection="1">
      <alignment horizontal="center" vertical="center"/>
    </xf>
    <xf numFmtId="0" fontId="0" fillId="0" borderId="107" xfId="0" applyBorder="1" applyAlignment="1">
      <alignment vertical="center"/>
    </xf>
    <xf numFmtId="3" fontId="8" fillId="10" borderId="43" xfId="0" quotePrefix="1" applyNumberFormat="1" applyFont="1" applyFill="1" applyBorder="1" applyAlignment="1" applyProtection="1">
      <alignment horizontal="center" vertical="center"/>
    </xf>
    <xf numFmtId="0" fontId="0" fillId="0" borderId="88" xfId="0" applyBorder="1" applyAlignment="1">
      <alignment vertical="center"/>
    </xf>
    <xf numFmtId="3" fontId="8" fillId="10" borderId="77" xfId="0" quotePrefix="1" applyNumberFormat="1" applyFont="1" applyFill="1" applyBorder="1" applyAlignment="1" applyProtection="1">
      <alignment horizontal="center" vertical="center"/>
    </xf>
    <xf numFmtId="0" fontId="0" fillId="0" borderId="113" xfId="0" applyBorder="1" applyAlignment="1">
      <alignment vertical="center"/>
    </xf>
    <xf numFmtId="3" fontId="8" fillId="10" borderId="16" xfId="0" quotePrefix="1" applyNumberFormat="1" applyFont="1" applyFill="1" applyBorder="1" applyAlignment="1" applyProtection="1">
      <alignment horizontal="center" vertical="center"/>
    </xf>
    <xf numFmtId="0" fontId="0" fillId="0" borderId="96" xfId="0" applyBorder="1" applyAlignment="1">
      <alignment vertical="center"/>
    </xf>
    <xf numFmtId="3" fontId="8" fillId="0" borderId="77" xfId="0" applyNumberFormat="1" applyFont="1" applyBorder="1" applyAlignment="1" applyProtection="1">
      <alignment horizontal="center" vertical="center"/>
    </xf>
    <xf numFmtId="0" fontId="0" fillId="0" borderId="113" xfId="0" applyBorder="1" applyAlignment="1">
      <alignment horizontal="center" vertical="center"/>
    </xf>
    <xf numFmtId="3" fontId="8" fillId="0" borderId="35" xfId="0" applyNumberFormat="1" applyFont="1" applyBorder="1" applyAlignment="1" applyProtection="1">
      <alignment horizontal="center" vertical="center"/>
    </xf>
    <xf numFmtId="0" fontId="0" fillId="0" borderId="107" xfId="0" applyBorder="1" applyAlignment="1">
      <alignment horizontal="center" vertical="center"/>
    </xf>
    <xf numFmtId="0" fontId="34" fillId="0" borderId="0" xfId="0" applyFont="1" applyAlignment="1" applyProtection="1">
      <alignment horizontal="right" vertical="top" wrapText="1"/>
    </xf>
    <xf numFmtId="0" fontId="0" fillId="0" borderId="0" xfId="0" applyAlignment="1">
      <alignment horizontal="right" vertical="top" wrapText="1"/>
    </xf>
    <xf numFmtId="0" fontId="25" fillId="0" borderId="0" xfId="0" applyFont="1" applyAlignment="1" applyProtection="1">
      <alignment horizontal="center" vertical="center" wrapText="1"/>
    </xf>
    <xf numFmtId="0" fontId="54" fillId="0" borderId="0" xfId="0" applyFont="1" applyAlignment="1">
      <alignment horizontal="center" vertical="center" wrapText="1"/>
    </xf>
    <xf numFmtId="0" fontId="0" fillId="0" borderId="0" xfId="0" applyAlignment="1">
      <alignment vertical="center" wrapText="1"/>
    </xf>
    <xf numFmtId="0" fontId="9" fillId="0" borderId="109" xfId="0" applyFont="1" applyBorder="1" applyAlignment="1" applyProtection="1">
      <alignment horizontal="center" vertical="center" wrapText="1"/>
    </xf>
    <xf numFmtId="0" fontId="0" fillId="0" borderId="110" xfId="0" applyBorder="1" applyAlignment="1">
      <alignment horizontal="center" vertical="center"/>
    </xf>
    <xf numFmtId="0" fontId="10" fillId="0" borderId="111" xfId="0" applyFont="1" applyBorder="1" applyAlignment="1" applyProtection="1">
      <alignment horizontal="center" vertical="center" wrapText="1"/>
    </xf>
    <xf numFmtId="0" fontId="0" fillId="0" borderId="112" xfId="0" applyBorder="1" applyAlignment="1">
      <alignment horizontal="center" vertical="center"/>
    </xf>
    <xf numFmtId="0" fontId="8" fillId="0" borderId="77" xfId="0" applyFont="1" applyBorder="1" applyAlignment="1" applyProtection="1">
      <alignment horizontal="center" vertical="center"/>
    </xf>
    <xf numFmtId="0" fontId="0" fillId="0" borderId="67" xfId="0" applyBorder="1" applyAlignment="1">
      <alignment horizontal="center" vertical="center"/>
    </xf>
    <xf numFmtId="0" fontId="8" fillId="0" borderId="35" xfId="0" applyFont="1" applyBorder="1" applyAlignment="1" applyProtection="1">
      <alignment horizontal="center" vertical="center"/>
    </xf>
    <xf numFmtId="0" fontId="0" fillId="0" borderId="34" xfId="0" applyBorder="1" applyAlignment="1">
      <alignment horizontal="center" vertical="center"/>
    </xf>
    <xf numFmtId="9" fontId="8" fillId="16" borderId="35" xfId="0" quotePrefix="1" applyNumberFormat="1" applyFont="1" applyFill="1" applyBorder="1" applyAlignment="1" applyProtection="1">
      <alignment horizontal="center" vertical="center"/>
    </xf>
    <xf numFmtId="0" fontId="0" fillId="16" borderId="34" xfId="0" applyFill="1" applyBorder="1" applyAlignment="1">
      <alignment horizontal="center" vertical="center"/>
    </xf>
    <xf numFmtId="0" fontId="0" fillId="0" borderId="110" xfId="0" applyBorder="1" applyAlignment="1">
      <alignment horizontal="center" vertical="center" wrapText="1"/>
    </xf>
    <xf numFmtId="0" fontId="0" fillId="0" borderId="112" xfId="0" applyBorder="1" applyAlignment="1">
      <alignment horizontal="center" vertical="center" wrapText="1"/>
    </xf>
    <xf numFmtId="3" fontId="8" fillId="10" borderId="79" xfId="0" quotePrefix="1" applyNumberFormat="1" applyFont="1" applyFill="1" applyBorder="1" applyAlignment="1" applyProtection="1">
      <alignment horizontal="center" vertical="center"/>
    </xf>
    <xf numFmtId="0" fontId="0" fillId="0" borderId="108" xfId="0" applyBorder="1" applyAlignment="1">
      <alignment vertical="center"/>
    </xf>
    <xf numFmtId="49" fontId="9" fillId="16" borderId="109" xfId="0" applyNumberFormat="1" applyFont="1" applyFill="1" applyBorder="1" applyAlignment="1" applyProtection="1">
      <alignment horizontal="center" vertical="center" wrapText="1"/>
    </xf>
    <xf numFmtId="0" fontId="0" fillId="16" borderId="65" xfId="0" applyFill="1" applyBorder="1" applyAlignment="1">
      <alignment horizontal="center" vertical="center"/>
    </xf>
    <xf numFmtId="49" fontId="10" fillId="16" borderId="111" xfId="0" applyNumberFormat="1" applyFont="1" applyFill="1" applyBorder="1" applyAlignment="1" applyProtection="1">
      <alignment horizontal="center" vertical="center" wrapText="1"/>
    </xf>
    <xf numFmtId="0" fontId="0" fillId="16" borderId="58" xfId="0" applyFill="1" applyBorder="1" applyAlignment="1">
      <alignment horizontal="center" vertical="center"/>
    </xf>
    <xf numFmtId="9" fontId="8" fillId="16" borderId="77" xfId="0" quotePrefix="1" applyNumberFormat="1" applyFont="1" applyFill="1" applyBorder="1" applyAlignment="1" applyProtection="1">
      <alignment horizontal="center" vertical="center"/>
    </xf>
    <xf numFmtId="0" fontId="0" fillId="16" borderId="67" xfId="0" applyFill="1" applyBorder="1" applyAlignment="1">
      <alignment horizontal="center" vertical="center"/>
    </xf>
    <xf numFmtId="9" fontId="8" fillId="16" borderId="79" xfId="0" applyNumberFormat="1" applyFont="1" applyFill="1" applyBorder="1" applyAlignment="1" applyProtection="1">
      <alignment horizontal="center" vertical="center"/>
    </xf>
    <xf numFmtId="0" fontId="0" fillId="16" borderId="106" xfId="0" applyFill="1" applyBorder="1" applyAlignment="1">
      <alignment horizontal="center" vertical="center"/>
    </xf>
    <xf numFmtId="9" fontId="8" fillId="16" borderId="35" xfId="0" applyNumberFormat="1" applyFont="1" applyFill="1" applyBorder="1" applyAlignment="1" applyProtection="1">
      <alignment horizontal="center" vertical="center"/>
    </xf>
    <xf numFmtId="0" fontId="8" fillId="0" borderId="79" xfId="0" applyFont="1" applyBorder="1" applyAlignment="1" applyProtection="1">
      <alignment horizontal="center" vertical="center"/>
    </xf>
    <xf numFmtId="0" fontId="0" fillId="0" borderId="106" xfId="0" applyBorder="1" applyAlignment="1">
      <alignment horizontal="center" vertical="center"/>
    </xf>
    <xf numFmtId="0" fontId="8" fillId="0" borderId="16" xfId="0" applyFont="1" applyBorder="1" applyAlignment="1" applyProtection="1">
      <alignment horizontal="center" vertical="center"/>
    </xf>
    <xf numFmtId="0" fontId="0" fillId="0" borderId="74" xfId="0" applyBorder="1" applyAlignment="1">
      <alignment horizontal="center" vertical="center"/>
    </xf>
    <xf numFmtId="0" fontId="67" fillId="0" borderId="0" xfId="0" applyFont="1" applyAlignment="1" applyProtection="1">
      <alignment horizontal="right" vertical="top"/>
    </xf>
    <xf numFmtId="0" fontId="0" fillId="0" borderId="0" xfId="0" applyAlignment="1">
      <alignment horizontal="right" vertical="top"/>
    </xf>
    <xf numFmtId="3" fontId="8" fillId="0" borderId="35" xfId="0" quotePrefix="1" applyNumberFormat="1" applyFont="1" applyBorder="1" applyAlignment="1" applyProtection="1">
      <alignment horizontal="center" vertical="center"/>
    </xf>
    <xf numFmtId="0" fontId="11" fillId="0" borderId="35" xfId="0" applyFont="1" applyBorder="1" applyAlignment="1" applyProtection="1">
      <alignment horizontal="center" vertical="center"/>
    </xf>
    <xf numFmtId="0" fontId="11" fillId="0" borderId="34" xfId="0" applyFont="1" applyBorder="1" applyAlignment="1" applyProtection="1">
      <alignment horizontal="center" vertical="center"/>
    </xf>
    <xf numFmtId="0" fontId="8" fillId="0" borderId="37" xfId="0" applyFont="1" applyBorder="1" applyAlignment="1" applyProtection="1">
      <alignment vertical="center"/>
    </xf>
    <xf numFmtId="0" fontId="8" fillId="0" borderId="52" xfId="0" applyFont="1" applyBorder="1" applyAlignment="1" applyProtection="1">
      <alignment horizontal="center" vertical="center"/>
    </xf>
    <xf numFmtId="0" fontId="8" fillId="0" borderId="34" xfId="0" applyFont="1" applyBorder="1" applyAlignment="1" applyProtection="1">
      <alignment horizontal="center" vertical="center"/>
    </xf>
    <xf numFmtId="0" fontId="8" fillId="0" borderId="91" xfId="0" applyFont="1" applyBorder="1" applyAlignment="1" applyProtection="1">
      <alignment horizontal="center" vertical="center"/>
    </xf>
    <xf numFmtId="0" fontId="0" fillId="0" borderId="101" xfId="0" applyBorder="1" applyAlignment="1">
      <alignment horizontal="center" vertical="center"/>
    </xf>
    <xf numFmtId="0" fontId="0" fillId="0" borderId="124" xfId="0" applyBorder="1" applyAlignment="1">
      <alignment horizontal="center" vertical="center"/>
    </xf>
    <xf numFmtId="0" fontId="8" fillId="8" borderId="125" xfId="0" applyFont="1" applyFill="1" applyBorder="1" applyAlignment="1" applyProtection="1">
      <alignment horizontal="center" vertical="center"/>
    </xf>
    <xf numFmtId="0" fontId="8" fillId="8" borderId="72" xfId="0" applyFont="1" applyFill="1" applyBorder="1" applyAlignment="1" applyProtection="1">
      <alignment horizontal="center" vertical="center"/>
    </xf>
    <xf numFmtId="0" fontId="8" fillId="0" borderId="107" xfId="0" applyFont="1" applyBorder="1" applyAlignment="1" applyProtection="1">
      <alignment vertical="center"/>
    </xf>
    <xf numFmtId="3" fontId="8" fillId="0" borderId="39" xfId="0" quotePrefix="1" applyNumberFormat="1" applyFont="1" applyBorder="1" applyAlignment="1" applyProtection="1">
      <alignment horizontal="center" vertical="center"/>
    </xf>
    <xf numFmtId="0" fontId="0" fillId="0" borderId="126" xfId="0" applyBorder="1" applyAlignment="1">
      <alignment horizontal="center" vertical="center"/>
    </xf>
    <xf numFmtId="0" fontId="0" fillId="0" borderId="127" xfId="0" applyBorder="1" applyAlignment="1">
      <alignment horizontal="center" vertical="center"/>
    </xf>
    <xf numFmtId="9" fontId="8" fillId="11" borderId="128" xfId="0" applyNumberFormat="1" applyFont="1" applyFill="1" applyBorder="1" applyAlignment="1" applyProtection="1">
      <alignment horizontal="center" vertical="center"/>
    </xf>
    <xf numFmtId="9" fontId="8" fillId="11" borderId="129" xfId="0" applyNumberFormat="1" applyFont="1" applyFill="1" applyBorder="1" applyAlignment="1" applyProtection="1">
      <alignment horizontal="center" vertical="center"/>
    </xf>
    <xf numFmtId="9" fontId="8" fillId="11" borderId="83" xfId="0" applyNumberFormat="1" applyFont="1" applyFill="1" applyBorder="1" applyAlignment="1" applyProtection="1">
      <alignment horizontal="center" vertical="center"/>
    </xf>
    <xf numFmtId="9" fontId="8" fillId="11" borderId="83" xfId="0" applyNumberFormat="1" applyFont="1" applyFill="1" applyBorder="1" applyAlignment="1" applyProtection="1">
      <alignment vertical="center"/>
    </xf>
    <xf numFmtId="0" fontId="8" fillId="8" borderId="43" xfId="0" applyFont="1" applyFill="1" applyBorder="1" applyAlignment="1" applyProtection="1">
      <alignment horizontal="center" vertical="center"/>
    </xf>
    <xf numFmtId="0" fontId="8" fillId="8" borderId="88" xfId="0" applyFont="1" applyFill="1" applyBorder="1" applyAlignment="1" applyProtection="1">
      <alignment vertical="center"/>
    </xf>
    <xf numFmtId="9" fontId="8" fillId="11" borderId="133" xfId="0" applyNumberFormat="1" applyFont="1" applyFill="1" applyBorder="1" applyAlignment="1" applyProtection="1">
      <alignment horizontal="center" vertical="center"/>
    </xf>
    <xf numFmtId="0" fontId="0" fillId="0" borderId="129" xfId="0" applyBorder="1" applyAlignment="1">
      <alignment horizontal="center" vertical="center"/>
    </xf>
    <xf numFmtId="0" fontId="8" fillId="0" borderId="39" xfId="0" applyFont="1" applyBorder="1" applyAlignment="1" applyProtection="1">
      <alignment horizontal="center" vertical="center"/>
    </xf>
    <xf numFmtId="0" fontId="8" fillId="0" borderId="126" xfId="0" applyFont="1" applyBorder="1" applyAlignment="1" applyProtection="1">
      <alignment horizontal="center" vertical="center"/>
    </xf>
    <xf numFmtId="0" fontId="8" fillId="0" borderId="127" xfId="0" applyFont="1" applyBorder="1" applyAlignment="1" applyProtection="1">
      <alignment vertical="center"/>
    </xf>
    <xf numFmtId="0" fontId="0" fillId="0" borderId="135" xfId="0" applyBorder="1" applyAlignment="1">
      <alignment horizontal="center" vertical="center"/>
    </xf>
    <xf numFmtId="0" fontId="11" fillId="0" borderId="100" xfId="0" applyFont="1" applyFill="1" applyBorder="1" applyAlignment="1" applyProtection="1">
      <alignment horizontal="left" vertical="center" shrinkToFit="1"/>
    </xf>
    <xf numFmtId="0" fontId="8" fillId="0" borderId="101" xfId="0" applyFont="1" applyFill="1" applyBorder="1" applyAlignment="1" applyProtection="1">
      <alignment horizontal="left" vertical="center" shrinkToFit="1"/>
    </xf>
    <xf numFmtId="0" fontId="8" fillId="0" borderId="124" xfId="0" applyFont="1" applyFill="1" applyBorder="1" applyAlignment="1" applyProtection="1">
      <alignment horizontal="left" vertical="center" shrinkToFit="1"/>
    </xf>
    <xf numFmtId="0" fontId="11" fillId="0" borderId="39" xfId="0" applyFont="1" applyBorder="1" applyAlignment="1" applyProtection="1">
      <alignment horizontal="center" vertical="center"/>
    </xf>
    <xf numFmtId="0" fontId="11" fillId="0" borderId="126" xfId="0" applyFont="1" applyBorder="1" applyAlignment="1" applyProtection="1">
      <alignment horizontal="center" vertical="center"/>
    </xf>
    <xf numFmtId="0" fontId="8" fillId="0" borderId="131" xfId="0" applyFont="1" applyBorder="1" applyAlignment="1" applyProtection="1">
      <alignment vertical="center"/>
    </xf>
    <xf numFmtId="0" fontId="8" fillId="0" borderId="132" xfId="0" applyFont="1" applyBorder="1" applyAlignment="1" applyProtection="1">
      <alignment horizontal="center" vertical="center"/>
    </xf>
    <xf numFmtId="3" fontId="8" fillId="0" borderId="91" xfId="0" quotePrefix="1" applyNumberFormat="1" applyFont="1" applyBorder="1" applyAlignment="1" applyProtection="1">
      <alignment horizontal="center" vertical="center"/>
    </xf>
    <xf numFmtId="3" fontId="8" fillId="8" borderId="35" xfId="0" applyNumberFormat="1" applyFont="1" applyFill="1" applyBorder="1" applyAlignment="1" applyProtection="1">
      <alignment horizontal="center" vertical="center"/>
    </xf>
    <xf numFmtId="0" fontId="8" fillId="0" borderId="130" xfId="0" applyFont="1" applyBorder="1" applyAlignment="1" applyProtection="1">
      <alignment horizontal="center" vertical="center"/>
    </xf>
    <xf numFmtId="0" fontId="8" fillId="0" borderId="101" xfId="0" applyFont="1" applyBorder="1" applyAlignment="1" applyProtection="1">
      <alignment horizontal="center" vertical="center"/>
    </xf>
    <xf numFmtId="0" fontId="11" fillId="0" borderId="31" xfId="0" applyFont="1" applyFill="1" applyBorder="1" applyAlignment="1" applyProtection="1">
      <alignment horizontal="left" vertical="center" shrinkToFit="1"/>
    </xf>
    <xf numFmtId="0" fontId="8" fillId="0" borderId="0" xfId="0" applyFont="1" applyFill="1" applyBorder="1" applyAlignment="1" applyProtection="1">
      <alignment horizontal="left" vertical="center" shrinkToFit="1"/>
    </xf>
    <xf numFmtId="0" fontId="8" fillId="0" borderId="40" xfId="0" applyFont="1" applyFill="1" applyBorder="1" applyAlignment="1" applyProtection="1">
      <alignment horizontal="left" vertical="center" shrinkToFit="1"/>
    </xf>
    <xf numFmtId="0" fontId="11" fillId="0" borderId="87" xfId="0" applyFont="1" applyBorder="1" applyAlignment="1" applyProtection="1">
      <alignment horizontal="center" vertical="center"/>
    </xf>
    <xf numFmtId="0" fontId="11" fillId="0" borderId="42" xfId="0" applyFont="1" applyBorder="1" applyAlignment="1" applyProtection="1">
      <alignment horizontal="center" vertical="center"/>
    </xf>
    <xf numFmtId="0" fontId="8" fillId="0" borderId="136" xfId="0" applyFont="1" applyBorder="1" applyAlignment="1" applyProtection="1">
      <alignment vertical="center"/>
    </xf>
    <xf numFmtId="0" fontId="8" fillId="0" borderId="134" xfId="0" applyFont="1" applyBorder="1" applyAlignment="1" applyProtection="1">
      <alignment horizontal="center" vertical="center"/>
    </xf>
    <xf numFmtId="0" fontId="8" fillId="0" borderId="42" xfId="0" applyFont="1" applyBorder="1" applyAlignment="1" applyProtection="1">
      <alignment horizontal="center" vertical="center"/>
    </xf>
    <xf numFmtId="9" fontId="8" fillId="0" borderId="53" xfId="0" quotePrefix="1" applyNumberFormat="1" applyFont="1" applyBorder="1" applyAlignment="1" applyProtection="1">
      <alignment horizontal="center" vertical="center"/>
    </xf>
    <xf numFmtId="9" fontId="8" fillId="0" borderId="107" xfId="0" quotePrefix="1" applyNumberFormat="1" applyFont="1" applyBorder="1" applyAlignment="1" applyProtection="1">
      <alignment horizontal="center" vertical="center"/>
    </xf>
    <xf numFmtId="9" fontId="8" fillId="0" borderId="54" xfId="0" applyNumberFormat="1" applyFont="1" applyBorder="1" applyAlignment="1" applyProtection="1">
      <alignment horizontal="center" vertical="center"/>
    </xf>
    <xf numFmtId="0" fontId="8" fillId="0" borderId="36" xfId="0" applyFont="1" applyBorder="1" applyAlignment="1" applyProtection="1">
      <alignment vertical="center" shrinkToFit="1"/>
    </xf>
    <xf numFmtId="0" fontId="8" fillId="0" borderId="34" xfId="0" applyFont="1" applyBorder="1" applyAlignment="1" applyProtection="1">
      <alignment vertical="center" shrinkToFit="1"/>
    </xf>
    <xf numFmtId="0" fontId="8" fillId="0" borderId="37" xfId="0" applyFont="1" applyBorder="1" applyAlignment="1" applyProtection="1">
      <alignment vertical="center" shrinkToFit="1"/>
    </xf>
    <xf numFmtId="3" fontId="2" fillId="9" borderId="91" xfId="0" applyNumberFormat="1" applyFont="1" applyFill="1" applyBorder="1" applyAlignment="1" applyProtection="1">
      <alignment horizontal="center" vertical="center"/>
    </xf>
    <xf numFmtId="9" fontId="8" fillId="0" borderId="35" xfId="0" quotePrefix="1" applyNumberFormat="1" applyFont="1" applyBorder="1" applyAlignment="1" applyProtection="1">
      <alignment horizontal="center" vertical="center"/>
    </xf>
    <xf numFmtId="9" fontId="8" fillId="0" borderId="35" xfId="0" applyNumberFormat="1" applyFont="1" applyBorder="1" applyAlignment="1" applyProtection="1">
      <alignment horizontal="center" vertical="center"/>
    </xf>
    <xf numFmtId="0" fontId="0" fillId="0" borderId="34" xfId="0" applyBorder="1" applyAlignment="1">
      <alignment vertical="center"/>
    </xf>
    <xf numFmtId="9" fontId="8" fillId="0" borderId="54" xfId="0" applyNumberFormat="1" applyFont="1" applyBorder="1" applyAlignment="1" applyProtection="1">
      <alignment vertical="center"/>
    </xf>
    <xf numFmtId="0" fontId="3" fillId="9" borderId="100" xfId="0" applyFont="1" applyFill="1" applyBorder="1" applyAlignment="1" applyProtection="1">
      <alignment horizontal="left" vertical="center"/>
    </xf>
    <xf numFmtId="0" fontId="0" fillId="0" borderId="101" xfId="0" applyBorder="1" applyAlignment="1">
      <alignment vertical="center"/>
    </xf>
    <xf numFmtId="169" fontId="8" fillId="0" borderId="43" xfId="0" applyNumberFormat="1" applyFont="1" applyBorder="1" applyAlignment="1" applyProtection="1">
      <alignment vertical="center"/>
    </xf>
    <xf numFmtId="169" fontId="0" fillId="0" borderId="88" xfId="0" applyNumberFormat="1" applyBorder="1" applyAlignment="1">
      <alignment vertical="center"/>
    </xf>
    <xf numFmtId="0" fontId="3" fillId="9" borderId="101" xfId="0" applyFont="1" applyFill="1" applyBorder="1" applyAlignment="1" applyProtection="1">
      <alignment horizontal="left" vertical="center"/>
    </xf>
    <xf numFmtId="0" fontId="3" fillId="9" borderId="152" xfId="0" applyFont="1" applyFill="1" applyBorder="1" applyAlignment="1" applyProtection="1">
      <alignment horizontal="left" vertical="center"/>
    </xf>
    <xf numFmtId="0" fontId="8" fillId="0" borderId="71" xfId="0" applyFont="1" applyBorder="1" applyAlignment="1" applyProtection="1">
      <alignment vertical="center" shrinkToFit="1"/>
    </xf>
    <xf numFmtId="0" fontId="8" fillId="0" borderId="72" xfId="0" applyFont="1" applyBorder="1" applyAlignment="1" applyProtection="1">
      <alignment vertical="center" shrinkToFit="1"/>
    </xf>
    <xf numFmtId="0" fontId="8" fillId="0" borderId="138" xfId="0" applyFont="1" applyBorder="1" applyAlignment="1" applyProtection="1">
      <alignment vertical="center" shrinkToFit="1"/>
    </xf>
    <xf numFmtId="169" fontId="8" fillId="0" borderId="125" xfId="0" quotePrefix="1" applyNumberFormat="1" applyFont="1" applyBorder="1" applyAlignment="1" applyProtection="1">
      <alignment vertical="center"/>
    </xf>
    <xf numFmtId="169" fontId="8" fillId="0" borderId="72" xfId="0" quotePrefix="1" applyNumberFormat="1" applyFont="1" applyBorder="1" applyAlignment="1" applyProtection="1">
      <alignment vertical="center"/>
    </xf>
    <xf numFmtId="169" fontId="8" fillId="0" borderId="72" xfId="0" applyNumberFormat="1" applyFont="1" applyBorder="1" applyAlignment="1" applyProtection="1">
      <alignment vertical="center"/>
    </xf>
    <xf numFmtId="167" fontId="8" fillId="0" borderId="48" xfId="0" applyNumberFormat="1" applyFont="1" applyFill="1" applyBorder="1" applyAlignment="1" applyProtection="1">
      <alignment vertical="center"/>
    </xf>
    <xf numFmtId="167" fontId="8" fillId="0" borderId="67" xfId="0" applyNumberFormat="1" applyFont="1" applyFill="1" applyBorder="1" applyAlignment="1" applyProtection="1">
      <alignment vertical="center"/>
    </xf>
    <xf numFmtId="169" fontId="8" fillId="0" borderId="88" xfId="0" applyNumberFormat="1" applyFont="1" applyBorder="1" applyAlignment="1" applyProtection="1">
      <alignment vertical="center"/>
    </xf>
    <xf numFmtId="167" fontId="8" fillId="0" borderId="77" xfId="0" applyNumberFormat="1" applyFont="1" applyFill="1" applyBorder="1" applyAlignment="1" applyProtection="1">
      <alignment vertical="center"/>
    </xf>
    <xf numFmtId="167" fontId="0" fillId="0" borderId="67" xfId="0" applyNumberFormat="1" applyFill="1" applyBorder="1" applyAlignment="1">
      <alignment vertical="center"/>
    </xf>
    <xf numFmtId="167" fontId="0" fillId="0" borderId="113" xfId="0" applyNumberFormat="1" applyFill="1" applyBorder="1" applyAlignment="1">
      <alignment vertical="center"/>
    </xf>
    <xf numFmtId="167" fontId="8" fillId="0" borderId="35" xfId="0" applyNumberFormat="1" applyFont="1" applyBorder="1" applyAlignment="1" applyProtection="1">
      <alignment vertical="center"/>
    </xf>
    <xf numFmtId="167" fontId="8" fillId="0" borderId="34" xfId="0" applyNumberFormat="1" applyFont="1" applyBorder="1" applyAlignment="1" applyProtection="1">
      <alignment vertical="center"/>
    </xf>
    <xf numFmtId="167" fontId="8" fillId="0" borderId="107" xfId="0" applyNumberFormat="1" applyFont="1" applyBorder="1" applyAlignment="1" applyProtection="1">
      <alignment vertical="center"/>
    </xf>
    <xf numFmtId="9" fontId="8" fillId="16" borderId="133" xfId="0" applyNumberFormat="1" applyFont="1" applyFill="1" applyBorder="1" applyAlignment="1" applyProtection="1">
      <alignment horizontal="center" vertical="center"/>
    </xf>
    <xf numFmtId="0" fontId="55" fillId="16" borderId="135" xfId="0" applyFont="1" applyFill="1" applyBorder="1" applyAlignment="1">
      <alignment vertical="center"/>
    </xf>
    <xf numFmtId="0" fontId="55" fillId="16" borderId="129" xfId="0" applyFont="1" applyFill="1" applyBorder="1" applyAlignment="1">
      <alignment vertical="center"/>
    </xf>
    <xf numFmtId="167" fontId="0" fillId="0" borderId="34" xfId="0" applyNumberFormat="1" applyBorder="1" applyAlignment="1">
      <alignment vertical="center"/>
    </xf>
    <xf numFmtId="167" fontId="0" fillId="0" borderId="107" xfId="0" applyNumberFormat="1" applyBorder="1" applyAlignment="1">
      <alignment vertical="center"/>
    </xf>
    <xf numFmtId="167" fontId="8" fillId="0" borderId="137" xfId="0" applyNumberFormat="1" applyFont="1" applyBorder="1" applyAlignment="1" applyProtection="1">
      <alignment vertical="center"/>
    </xf>
    <xf numFmtId="171" fontId="8" fillId="0" borderId="52" xfId="0" quotePrefix="1" applyNumberFormat="1" applyFont="1" applyBorder="1" applyAlignment="1" applyProtection="1">
      <alignment vertical="center"/>
    </xf>
    <xf numFmtId="171" fontId="8" fillId="0" borderId="34" xfId="0" quotePrefix="1" applyNumberFormat="1" applyFont="1" applyBorder="1" applyAlignment="1" applyProtection="1">
      <alignment vertical="center"/>
    </xf>
    <xf numFmtId="171" fontId="8" fillId="0" borderId="34" xfId="0" applyNumberFormat="1" applyFont="1" applyBorder="1" applyAlignment="1" applyProtection="1">
      <alignment vertical="center"/>
    </xf>
    <xf numFmtId="171" fontId="8" fillId="0" borderId="35" xfId="0" applyNumberFormat="1" applyFont="1" applyBorder="1" applyAlignment="1" applyProtection="1">
      <alignment vertical="center"/>
    </xf>
    <xf numFmtId="171" fontId="8" fillId="0" borderId="107" xfId="0" applyNumberFormat="1" applyFont="1" applyBorder="1" applyAlignment="1" applyProtection="1">
      <alignment vertical="center"/>
    </xf>
    <xf numFmtId="170" fontId="8" fillId="0" borderId="52" xfId="0" quotePrefix="1" applyNumberFormat="1" applyFont="1" applyBorder="1" applyAlignment="1" applyProtection="1">
      <alignment vertical="center"/>
    </xf>
    <xf numFmtId="170" fontId="8" fillId="0" borderId="34" xfId="0" quotePrefix="1" applyNumberFormat="1" applyFont="1" applyBorder="1" applyAlignment="1" applyProtection="1">
      <alignment vertical="center"/>
    </xf>
    <xf numFmtId="170" fontId="8" fillId="0" borderId="34" xfId="0" applyNumberFormat="1" applyFont="1" applyBorder="1" applyAlignment="1" applyProtection="1">
      <alignment vertical="center"/>
    </xf>
    <xf numFmtId="170" fontId="8" fillId="0" borderId="35" xfId="0" applyNumberFormat="1" applyFont="1" applyBorder="1" applyAlignment="1" applyProtection="1">
      <alignment vertical="center"/>
    </xf>
    <xf numFmtId="170" fontId="8" fillId="0" borderId="107" xfId="0" applyNumberFormat="1" applyFont="1" applyBorder="1" applyAlignment="1" applyProtection="1">
      <alignment vertical="center"/>
    </xf>
    <xf numFmtId="167" fontId="0" fillId="0" borderId="137" xfId="0" applyNumberFormat="1" applyBorder="1" applyAlignment="1">
      <alignment vertical="center"/>
    </xf>
    <xf numFmtId="0" fontId="55" fillId="16" borderId="129" xfId="0" applyFont="1" applyFill="1" applyBorder="1" applyAlignment="1">
      <alignment horizontal="center" vertical="center"/>
    </xf>
    <xf numFmtId="0" fontId="55" fillId="16" borderId="135" xfId="0" applyFont="1" applyFill="1" applyBorder="1" applyAlignment="1">
      <alignment horizontal="center" vertical="center"/>
    </xf>
    <xf numFmtId="0" fontId="0" fillId="0" borderId="124" xfId="0" applyBorder="1" applyAlignment="1">
      <alignment vertical="center"/>
    </xf>
    <xf numFmtId="0" fontId="2" fillId="9" borderId="91" xfId="0" applyFont="1" applyFill="1" applyBorder="1" applyAlignment="1" applyProtection="1">
      <alignment horizontal="center" vertical="center"/>
    </xf>
    <xf numFmtId="0" fontId="2" fillId="9" borderId="101" xfId="0" applyFont="1" applyFill="1" applyBorder="1" applyAlignment="1" applyProtection="1">
      <alignment horizontal="center" vertical="center"/>
    </xf>
    <xf numFmtId="0" fontId="2" fillId="9" borderId="124" xfId="0" applyFont="1" applyFill="1" applyBorder="1" applyAlignment="1" applyProtection="1">
      <alignment vertical="center"/>
    </xf>
    <xf numFmtId="3" fontId="2" fillId="9" borderId="101" xfId="0" applyNumberFormat="1" applyFont="1" applyFill="1" applyBorder="1" applyAlignment="1" applyProtection="1">
      <alignment horizontal="center" vertical="center"/>
    </xf>
    <xf numFmtId="3" fontId="2" fillId="9" borderId="124" xfId="0" applyNumberFormat="1" applyFont="1" applyFill="1" applyBorder="1" applyAlignment="1" applyProtection="1">
      <alignment horizontal="center" vertical="center"/>
    </xf>
    <xf numFmtId="0" fontId="2" fillId="9" borderId="151" xfId="0" applyFont="1" applyFill="1" applyBorder="1" applyAlignment="1" applyProtection="1">
      <alignment horizontal="center" vertical="center"/>
    </xf>
    <xf numFmtId="0" fontId="2" fillId="9" borderId="124" xfId="0" applyFont="1" applyFill="1" applyBorder="1" applyAlignment="1" applyProtection="1">
      <alignment horizontal="center" vertical="center"/>
    </xf>
    <xf numFmtId="169" fontId="0" fillId="0" borderId="72" xfId="0" applyNumberFormat="1" applyBorder="1" applyAlignment="1">
      <alignment vertical="center"/>
    </xf>
    <xf numFmtId="167" fontId="8" fillId="0" borderId="52" xfId="0" applyNumberFormat="1" applyFont="1" applyBorder="1" applyAlignment="1" applyProtection="1">
      <alignment vertical="center"/>
    </xf>
    <xf numFmtId="9" fontId="8" fillId="16" borderId="139" xfId="0" applyNumberFormat="1" applyFont="1" applyFill="1" applyBorder="1" applyAlignment="1" applyProtection="1">
      <alignment horizontal="center" vertical="center"/>
    </xf>
    <xf numFmtId="9" fontId="8" fillId="16" borderId="88" xfId="0" applyNumberFormat="1" applyFont="1" applyFill="1" applyBorder="1" applyAlignment="1" applyProtection="1">
      <alignment horizontal="center" vertical="center"/>
    </xf>
    <xf numFmtId="9" fontId="8" fillId="16" borderId="140" xfId="0" applyNumberFormat="1" applyFont="1" applyFill="1" applyBorder="1" applyAlignment="1" applyProtection="1">
      <alignment horizontal="center" vertical="center"/>
    </xf>
    <xf numFmtId="167" fontId="8" fillId="0" borderId="115" xfId="0" applyNumberFormat="1" applyFont="1" applyBorder="1" applyAlignment="1" applyProtection="1">
      <alignment vertical="center"/>
    </xf>
    <xf numFmtId="9" fontId="55" fillId="16" borderId="135" xfId="0" applyNumberFormat="1" applyFont="1" applyFill="1" applyBorder="1" applyAlignment="1">
      <alignment horizontal="center" vertical="center"/>
    </xf>
    <xf numFmtId="9" fontId="55" fillId="16" borderId="129" xfId="0" applyNumberFormat="1" applyFont="1" applyFill="1" applyBorder="1" applyAlignment="1">
      <alignment horizontal="center" vertical="center"/>
    </xf>
    <xf numFmtId="0" fontId="8" fillId="8" borderId="35" xfId="0" applyFont="1" applyFill="1" applyBorder="1" applyAlignment="1" applyProtection="1">
      <alignment horizontal="center" vertical="center"/>
    </xf>
    <xf numFmtId="0" fontId="11" fillId="0" borderId="97" xfId="0" applyFont="1" applyBorder="1" applyAlignment="1" applyProtection="1">
      <alignment horizontal="center" vertical="center" shrinkToFit="1"/>
    </xf>
    <xf numFmtId="0" fontId="0" fillId="0" borderId="98" xfId="0" applyBorder="1" applyAlignment="1">
      <alignment horizontal="center" vertical="center" shrinkToFit="1"/>
    </xf>
    <xf numFmtId="0" fontId="0" fillId="0" borderId="45" xfId="0" applyBorder="1" applyAlignment="1">
      <alignment horizontal="center" vertical="center" shrinkToFit="1"/>
    </xf>
    <xf numFmtId="172" fontId="8" fillId="0" borderId="35" xfId="0" applyNumberFormat="1" applyFont="1" applyBorder="1" applyAlignment="1" applyProtection="1">
      <alignment vertical="center"/>
    </xf>
    <xf numFmtId="172" fontId="8" fillId="0" borderId="107" xfId="0" applyNumberFormat="1" applyFont="1" applyBorder="1" applyAlignment="1" applyProtection="1">
      <alignment vertical="center"/>
    </xf>
    <xf numFmtId="171" fontId="0" fillId="0" borderId="107" xfId="0" applyNumberFormat="1" applyBorder="1" applyAlignment="1">
      <alignment vertical="center"/>
    </xf>
    <xf numFmtId="170" fontId="0" fillId="0" borderId="107" xfId="0" applyNumberFormat="1" applyBorder="1" applyAlignment="1">
      <alignment vertical="center"/>
    </xf>
    <xf numFmtId="0" fontId="11" fillId="0" borderId="19" xfId="0" applyFont="1" applyBorder="1" applyAlignment="1" applyProtection="1">
      <alignment horizontal="center" vertical="center" shrinkToFit="1"/>
    </xf>
    <xf numFmtId="0" fontId="11" fillId="0" borderId="0" xfId="0" applyFont="1" applyBorder="1" applyAlignment="1" applyProtection="1">
      <alignment horizontal="center" vertical="center" shrinkToFit="1"/>
    </xf>
    <xf numFmtId="173" fontId="36" fillId="9" borderId="151" xfId="0" applyNumberFormat="1" applyFont="1" applyFill="1" applyBorder="1" applyAlignment="1" applyProtection="1">
      <alignment horizontal="center" vertical="center"/>
    </xf>
    <xf numFmtId="173" fontId="56" fillId="0" borderId="101" xfId="0" applyNumberFormat="1" applyFont="1" applyBorder="1" applyAlignment="1">
      <alignment vertical="center"/>
    </xf>
    <xf numFmtId="173" fontId="56" fillId="0" borderId="124" xfId="0" applyNumberFormat="1" applyFont="1" applyBorder="1" applyAlignment="1">
      <alignment vertical="center"/>
    </xf>
    <xf numFmtId="172" fontId="8" fillId="0" borderId="34" xfId="0" applyNumberFormat="1" applyFont="1" applyBorder="1" applyAlignment="1" applyProtection="1">
      <alignment vertical="center"/>
    </xf>
    <xf numFmtId="171" fontId="0" fillId="0" borderId="34" xfId="0" applyNumberFormat="1" applyBorder="1" applyAlignment="1">
      <alignment vertical="center"/>
    </xf>
    <xf numFmtId="172" fontId="8" fillId="0" borderId="52" xfId="0" quotePrefix="1" applyNumberFormat="1" applyFont="1" applyBorder="1" applyAlignment="1" applyProtection="1">
      <alignment vertical="center"/>
    </xf>
    <xf numFmtId="172" fontId="8" fillId="0" borderId="34" xfId="0" quotePrefix="1" applyNumberFormat="1" applyFont="1" applyBorder="1" applyAlignment="1" applyProtection="1">
      <alignment vertical="center"/>
    </xf>
    <xf numFmtId="170" fontId="0" fillId="0" borderId="34" xfId="0" applyNumberFormat="1" applyBorder="1" applyAlignment="1">
      <alignment vertical="center"/>
    </xf>
    <xf numFmtId="0" fontId="11" fillId="0" borderId="33" xfId="0" applyFont="1" applyBorder="1" applyAlignment="1" applyProtection="1">
      <alignment horizontal="center" vertical="center" shrinkToFit="1"/>
    </xf>
    <xf numFmtId="0" fontId="11" fillId="0" borderId="40" xfId="0" applyFont="1" applyBorder="1" applyAlignment="1" applyProtection="1">
      <alignment vertical="center" shrinkToFit="1"/>
    </xf>
    <xf numFmtId="173" fontId="36" fillId="9" borderId="91" xfId="0" quotePrefix="1" applyNumberFormat="1" applyFont="1" applyFill="1" applyBorder="1" applyAlignment="1" applyProtection="1">
      <alignment horizontal="center" vertical="center"/>
    </xf>
    <xf numFmtId="0" fontId="8" fillId="0" borderId="87" xfId="0" applyFont="1" applyBorder="1" applyAlignment="1" applyProtection="1">
      <alignment horizontal="center" vertical="center"/>
    </xf>
    <xf numFmtId="0" fontId="0" fillId="0" borderId="42" xfId="0" applyBorder="1" applyAlignment="1">
      <alignment horizontal="center" vertical="center"/>
    </xf>
    <xf numFmtId="0" fontId="0" fillId="0" borderId="89" xfId="0" applyBorder="1" applyAlignment="1">
      <alignment horizontal="center" vertical="center"/>
    </xf>
    <xf numFmtId="0" fontId="8" fillId="0" borderId="124" xfId="0" applyFont="1" applyBorder="1" applyAlignment="1" applyProtection="1">
      <alignment vertical="center"/>
    </xf>
    <xf numFmtId="3" fontId="8" fillId="0" borderId="87" xfId="0" quotePrefix="1" applyNumberFormat="1" applyFont="1" applyBorder="1" applyAlignment="1" applyProtection="1">
      <alignment horizontal="center" vertical="center"/>
    </xf>
    <xf numFmtId="0" fontId="8" fillId="0" borderId="89" xfId="0" applyFont="1" applyBorder="1" applyAlignment="1" applyProtection="1">
      <alignment vertical="center"/>
    </xf>
    <xf numFmtId="0" fontId="26" fillId="0" borderId="0" xfId="0" applyFont="1" applyAlignment="1" applyProtection="1">
      <alignment horizontal="left" vertical="center" shrinkToFit="1"/>
    </xf>
    <xf numFmtId="0" fontId="57" fillId="0" borderId="0" xfId="0" applyFont="1" applyAlignment="1">
      <alignment horizontal="left" vertical="center" shrinkToFit="1"/>
    </xf>
  </cellXfs>
  <cellStyles count="3">
    <cellStyle name="Hyperlink" xfId="2" builtinId="8"/>
    <cellStyle name="Normal" xfId="0" builtinId="0"/>
    <cellStyle name="Normal 2" xfId="1"/>
  </cellStyles>
  <dxfs count="316">
    <dxf>
      <font>
        <color theme="0"/>
      </font>
    </dxf>
    <dxf>
      <font>
        <color rgb="FF00CCFF"/>
      </font>
      <fill>
        <patternFill>
          <bgColor rgb="FF00CCFF"/>
        </patternFill>
      </fill>
    </dxf>
    <dxf>
      <font>
        <color theme="0"/>
      </font>
    </dxf>
    <dxf>
      <font>
        <b/>
        <i val="0"/>
        <color indexed="8"/>
        <name val="Cambria"/>
        <scheme val="none"/>
      </font>
      <fill>
        <patternFill>
          <bgColor indexed="11"/>
        </patternFill>
      </fill>
    </dxf>
    <dxf>
      <font>
        <b/>
        <i val="0"/>
      </font>
      <fill>
        <patternFill>
          <bgColor rgb="FFFFFF00"/>
        </patternFill>
      </fill>
    </dxf>
    <dxf>
      <font>
        <b/>
        <i val="0"/>
        <color theme="0"/>
      </font>
      <fill>
        <patternFill>
          <bgColor indexed="10"/>
        </patternFill>
      </fill>
    </dxf>
    <dxf>
      <font>
        <b/>
        <i val="0"/>
        <color indexed="9"/>
        <name val="Cambria"/>
        <scheme val="none"/>
      </font>
      <fill>
        <patternFill>
          <bgColor indexed="20"/>
        </patternFill>
      </fill>
    </dxf>
    <dxf>
      <font>
        <color rgb="FF00CCFF"/>
      </font>
      <fill>
        <patternFill>
          <bgColor rgb="FF00CCFF"/>
        </patternFill>
      </fill>
    </dxf>
    <dxf>
      <font>
        <color theme="0"/>
      </font>
    </dxf>
    <dxf>
      <font>
        <b/>
        <i val="0"/>
        <color indexed="8"/>
        <name val="Cambria"/>
        <scheme val="none"/>
      </font>
      <fill>
        <patternFill>
          <bgColor indexed="11"/>
        </patternFill>
      </fill>
    </dxf>
    <dxf>
      <font>
        <b/>
        <i val="0"/>
      </font>
      <fill>
        <patternFill>
          <bgColor rgb="FFFFFF00"/>
        </patternFill>
      </fill>
    </dxf>
    <dxf>
      <font>
        <b/>
        <i val="0"/>
        <color theme="0"/>
      </font>
      <fill>
        <patternFill>
          <bgColor indexed="10"/>
        </patternFill>
      </fill>
    </dxf>
    <dxf>
      <font>
        <b/>
        <i val="0"/>
        <color indexed="9"/>
        <name val="Cambria"/>
        <scheme val="none"/>
      </font>
      <fill>
        <patternFill>
          <bgColor indexed="20"/>
        </patternFill>
      </fill>
    </dxf>
    <dxf>
      <font>
        <color rgb="FF00CCFF"/>
      </font>
      <fill>
        <patternFill>
          <bgColor rgb="FF00CCFF"/>
        </patternFill>
      </fill>
    </dxf>
    <dxf>
      <font>
        <color theme="0"/>
      </font>
    </dxf>
    <dxf>
      <font>
        <b/>
        <i val="0"/>
        <color indexed="8"/>
        <name val="Cambria"/>
        <scheme val="none"/>
      </font>
      <fill>
        <patternFill>
          <bgColor indexed="11"/>
        </patternFill>
      </fill>
    </dxf>
    <dxf>
      <font>
        <b/>
        <i val="0"/>
      </font>
      <fill>
        <patternFill>
          <bgColor rgb="FFFFFF00"/>
        </patternFill>
      </fill>
    </dxf>
    <dxf>
      <font>
        <b/>
        <i val="0"/>
        <color theme="0"/>
      </font>
      <fill>
        <patternFill>
          <bgColor indexed="10"/>
        </patternFill>
      </fill>
    </dxf>
    <dxf>
      <font>
        <b/>
        <i val="0"/>
        <color indexed="9"/>
        <name val="Cambria"/>
        <scheme val="none"/>
      </font>
      <fill>
        <patternFill>
          <bgColor indexed="20"/>
        </patternFill>
      </fill>
    </dxf>
    <dxf>
      <font>
        <color rgb="FF00CCFF"/>
      </font>
      <fill>
        <patternFill>
          <bgColor rgb="FF00CCFF"/>
        </patternFill>
      </fill>
    </dxf>
    <dxf>
      <font>
        <color theme="0"/>
      </font>
    </dxf>
    <dxf>
      <font>
        <b/>
        <i val="0"/>
        <color indexed="8"/>
        <name val="Cambria"/>
        <scheme val="none"/>
      </font>
      <fill>
        <patternFill>
          <bgColor indexed="11"/>
        </patternFill>
      </fill>
    </dxf>
    <dxf>
      <font>
        <b/>
        <i val="0"/>
      </font>
      <fill>
        <patternFill>
          <bgColor rgb="FFFFFF00"/>
        </patternFill>
      </fill>
    </dxf>
    <dxf>
      <font>
        <b/>
        <i val="0"/>
        <color theme="0"/>
      </font>
      <fill>
        <patternFill>
          <bgColor indexed="10"/>
        </patternFill>
      </fill>
    </dxf>
    <dxf>
      <font>
        <b/>
        <i val="0"/>
        <color indexed="9"/>
        <name val="Cambria"/>
        <scheme val="none"/>
      </font>
      <fill>
        <patternFill>
          <bgColor indexed="20"/>
        </patternFill>
      </fill>
    </dxf>
    <dxf>
      <font>
        <color rgb="FF00CCFF"/>
      </font>
      <fill>
        <patternFill>
          <bgColor rgb="FF00CCFF"/>
        </patternFill>
      </fill>
    </dxf>
    <dxf>
      <font>
        <color theme="0"/>
      </font>
    </dxf>
    <dxf>
      <font>
        <b/>
        <i val="0"/>
        <color indexed="8"/>
        <name val="Cambria"/>
        <scheme val="none"/>
      </font>
      <fill>
        <patternFill>
          <bgColor indexed="11"/>
        </patternFill>
      </fill>
    </dxf>
    <dxf>
      <font>
        <b/>
        <i val="0"/>
      </font>
      <fill>
        <patternFill>
          <bgColor rgb="FFFFFF00"/>
        </patternFill>
      </fill>
    </dxf>
    <dxf>
      <font>
        <b/>
        <i val="0"/>
        <color theme="0"/>
      </font>
      <fill>
        <patternFill>
          <bgColor indexed="10"/>
        </patternFill>
      </fill>
    </dxf>
    <dxf>
      <font>
        <b/>
        <i val="0"/>
        <color indexed="9"/>
        <name val="Cambria"/>
        <scheme val="none"/>
      </font>
      <fill>
        <patternFill>
          <bgColor indexed="20"/>
        </patternFill>
      </fill>
    </dxf>
    <dxf>
      <font>
        <color rgb="FF00CCFF"/>
      </font>
      <fill>
        <patternFill>
          <bgColor rgb="FF00CCFF"/>
        </patternFill>
      </fill>
    </dxf>
    <dxf>
      <font>
        <color theme="0"/>
      </font>
    </dxf>
    <dxf>
      <font>
        <b/>
        <i val="0"/>
        <color indexed="8"/>
        <name val="Cambria"/>
        <scheme val="none"/>
      </font>
      <fill>
        <patternFill>
          <bgColor indexed="11"/>
        </patternFill>
      </fill>
    </dxf>
    <dxf>
      <font>
        <b/>
        <i val="0"/>
      </font>
      <fill>
        <patternFill>
          <bgColor rgb="FFFFFF00"/>
        </patternFill>
      </fill>
    </dxf>
    <dxf>
      <font>
        <b/>
        <i val="0"/>
        <color theme="0"/>
      </font>
      <fill>
        <patternFill>
          <bgColor indexed="10"/>
        </patternFill>
      </fill>
    </dxf>
    <dxf>
      <font>
        <b/>
        <i val="0"/>
        <color indexed="9"/>
        <name val="Cambria"/>
        <scheme val="none"/>
      </font>
      <fill>
        <patternFill>
          <bgColor indexed="20"/>
        </patternFill>
      </fill>
    </dxf>
    <dxf>
      <font>
        <color rgb="FF00CCFF"/>
      </font>
      <fill>
        <patternFill>
          <bgColor rgb="FF00CCFF"/>
        </patternFill>
      </fill>
    </dxf>
    <dxf>
      <font>
        <color theme="0"/>
      </font>
    </dxf>
    <dxf>
      <font>
        <b/>
        <i val="0"/>
        <color indexed="8"/>
        <name val="Cambria"/>
        <scheme val="none"/>
      </font>
      <fill>
        <patternFill>
          <bgColor indexed="11"/>
        </patternFill>
      </fill>
    </dxf>
    <dxf>
      <font>
        <b/>
        <i val="0"/>
      </font>
      <fill>
        <patternFill>
          <bgColor rgb="FFFFFF00"/>
        </patternFill>
      </fill>
    </dxf>
    <dxf>
      <font>
        <b/>
        <i val="0"/>
        <color theme="0"/>
      </font>
      <fill>
        <patternFill>
          <bgColor indexed="10"/>
        </patternFill>
      </fill>
    </dxf>
    <dxf>
      <font>
        <b/>
        <i val="0"/>
        <color indexed="9"/>
        <name val="Cambria"/>
        <scheme val="none"/>
      </font>
      <fill>
        <patternFill>
          <bgColor indexed="20"/>
        </patternFill>
      </fill>
    </dxf>
    <dxf>
      <font>
        <color rgb="FF00CCFF"/>
      </font>
      <fill>
        <patternFill>
          <bgColor rgb="FF00CCFF"/>
        </patternFill>
      </fill>
    </dxf>
    <dxf>
      <font>
        <color theme="0"/>
      </font>
    </dxf>
    <dxf>
      <font>
        <b/>
        <i val="0"/>
        <color indexed="8"/>
        <name val="Cambria"/>
        <scheme val="none"/>
      </font>
      <fill>
        <patternFill>
          <bgColor indexed="11"/>
        </patternFill>
      </fill>
    </dxf>
    <dxf>
      <font>
        <b/>
        <i val="0"/>
      </font>
      <fill>
        <patternFill>
          <bgColor rgb="FFFFFF00"/>
        </patternFill>
      </fill>
    </dxf>
    <dxf>
      <font>
        <b/>
        <i val="0"/>
        <color theme="0"/>
      </font>
      <fill>
        <patternFill>
          <bgColor indexed="10"/>
        </patternFill>
      </fill>
    </dxf>
    <dxf>
      <font>
        <b/>
        <i val="0"/>
        <color indexed="9"/>
        <name val="Cambria"/>
        <scheme val="none"/>
      </font>
      <fill>
        <patternFill>
          <bgColor indexed="20"/>
        </patternFill>
      </fill>
    </dxf>
    <dxf>
      <font>
        <color rgb="FF00CCFF"/>
      </font>
      <fill>
        <patternFill>
          <bgColor rgb="FF00CCFF"/>
        </patternFill>
      </fill>
    </dxf>
    <dxf>
      <font>
        <color theme="0"/>
      </font>
    </dxf>
    <dxf>
      <font>
        <b/>
        <i val="0"/>
        <color indexed="8"/>
        <name val="Cambria"/>
        <scheme val="none"/>
      </font>
      <fill>
        <patternFill>
          <bgColor indexed="11"/>
        </patternFill>
      </fill>
    </dxf>
    <dxf>
      <font>
        <b/>
        <i val="0"/>
      </font>
      <fill>
        <patternFill>
          <bgColor rgb="FFFFFF00"/>
        </patternFill>
      </fill>
    </dxf>
    <dxf>
      <font>
        <b/>
        <i val="0"/>
        <color theme="0"/>
      </font>
      <fill>
        <patternFill>
          <bgColor indexed="10"/>
        </patternFill>
      </fill>
    </dxf>
    <dxf>
      <font>
        <b/>
        <i val="0"/>
        <color indexed="9"/>
        <name val="Cambria"/>
        <scheme val="none"/>
      </font>
      <fill>
        <patternFill>
          <bgColor indexed="20"/>
        </patternFill>
      </fill>
    </dxf>
    <dxf>
      <font>
        <color rgb="FF00CCFF"/>
      </font>
      <fill>
        <patternFill>
          <bgColor rgb="FF00CCFF"/>
        </patternFill>
      </fill>
    </dxf>
    <dxf>
      <font>
        <color theme="0"/>
      </font>
    </dxf>
    <dxf>
      <font>
        <b/>
        <i val="0"/>
        <color indexed="8"/>
        <name val="Cambria"/>
        <scheme val="none"/>
      </font>
      <fill>
        <patternFill>
          <bgColor indexed="11"/>
        </patternFill>
      </fill>
    </dxf>
    <dxf>
      <font>
        <b/>
        <i val="0"/>
      </font>
      <fill>
        <patternFill>
          <bgColor rgb="FFFFFF00"/>
        </patternFill>
      </fill>
    </dxf>
    <dxf>
      <font>
        <b/>
        <i val="0"/>
        <color theme="0"/>
      </font>
      <fill>
        <patternFill>
          <bgColor indexed="10"/>
        </patternFill>
      </fill>
    </dxf>
    <dxf>
      <font>
        <b/>
        <i val="0"/>
        <color indexed="9"/>
        <name val="Cambria"/>
        <scheme val="none"/>
      </font>
      <fill>
        <patternFill>
          <bgColor indexed="20"/>
        </patternFill>
      </fill>
    </dxf>
    <dxf>
      <font>
        <color rgb="FF00CCFF"/>
      </font>
      <fill>
        <patternFill>
          <bgColor rgb="FF00CCFF"/>
        </patternFill>
      </fill>
    </dxf>
    <dxf>
      <font>
        <color theme="0"/>
      </font>
    </dxf>
    <dxf>
      <font>
        <b/>
        <i val="0"/>
        <color indexed="8"/>
        <name val="Cambria"/>
        <scheme val="none"/>
      </font>
      <fill>
        <patternFill>
          <bgColor indexed="11"/>
        </patternFill>
      </fill>
    </dxf>
    <dxf>
      <font>
        <b/>
        <i val="0"/>
      </font>
      <fill>
        <patternFill>
          <bgColor rgb="FFFFFF00"/>
        </patternFill>
      </fill>
    </dxf>
    <dxf>
      <font>
        <b/>
        <i val="0"/>
        <color theme="0"/>
      </font>
      <fill>
        <patternFill>
          <bgColor indexed="10"/>
        </patternFill>
      </fill>
    </dxf>
    <dxf>
      <font>
        <b/>
        <i val="0"/>
        <color indexed="9"/>
        <name val="Cambria"/>
        <scheme val="none"/>
      </font>
      <fill>
        <patternFill>
          <bgColor indexed="20"/>
        </patternFill>
      </fill>
    </dxf>
    <dxf>
      <font>
        <color rgb="FF00CCFF"/>
      </font>
      <fill>
        <patternFill>
          <bgColor rgb="FF00CCFF"/>
        </patternFill>
      </fill>
    </dxf>
    <dxf>
      <font>
        <color theme="0"/>
      </font>
    </dxf>
    <dxf>
      <font>
        <b/>
        <i val="0"/>
        <color theme="0"/>
      </font>
      <fill>
        <patternFill>
          <bgColor rgb="FFC00000"/>
        </patternFill>
      </fill>
    </dxf>
    <dxf>
      <font>
        <b/>
        <i val="0"/>
        <color indexed="8"/>
        <name val="Cambria"/>
        <scheme val="none"/>
      </font>
      <fill>
        <patternFill>
          <bgColor indexed="11"/>
        </patternFill>
      </fill>
    </dxf>
    <dxf>
      <font>
        <b/>
        <i val="0"/>
      </font>
      <fill>
        <patternFill>
          <bgColor rgb="FFFFFF00"/>
        </patternFill>
      </fill>
    </dxf>
    <dxf>
      <font>
        <b/>
        <i val="0"/>
        <color theme="0"/>
      </font>
      <fill>
        <patternFill>
          <bgColor indexed="10"/>
        </patternFill>
      </fill>
    </dxf>
    <dxf>
      <font>
        <b/>
        <i val="0"/>
        <color indexed="9"/>
        <name val="Cambria"/>
        <scheme val="none"/>
      </font>
      <fill>
        <patternFill>
          <bgColor indexed="20"/>
        </patternFill>
      </fill>
    </dxf>
    <dxf>
      <font>
        <b/>
        <i val="0"/>
      </font>
      <fill>
        <patternFill>
          <bgColor rgb="FF00FF00"/>
        </patternFill>
      </fill>
    </dxf>
    <dxf>
      <font>
        <b/>
        <i val="0"/>
        <color theme="0"/>
      </font>
      <fill>
        <patternFill>
          <bgColor rgb="FFFF0000"/>
        </patternFill>
      </fill>
    </dxf>
    <dxf>
      <font>
        <b/>
        <i val="0"/>
        <color theme="0"/>
      </font>
      <fill>
        <patternFill>
          <bgColor rgb="FF800080"/>
        </patternFill>
      </fill>
    </dxf>
    <dxf>
      <font>
        <b/>
        <i val="0"/>
      </font>
      <fill>
        <patternFill>
          <bgColor rgb="FFFFFF00"/>
        </patternFill>
      </fill>
    </dxf>
    <dxf>
      <font>
        <b/>
        <i val="0"/>
      </font>
      <fill>
        <patternFill>
          <bgColor rgb="FF00FF00"/>
        </patternFill>
      </fill>
    </dxf>
    <dxf>
      <font>
        <b/>
        <i val="0"/>
        <color theme="0"/>
      </font>
      <fill>
        <patternFill>
          <bgColor rgb="FFFF0000"/>
        </patternFill>
      </fill>
    </dxf>
    <dxf>
      <font>
        <b/>
        <i val="0"/>
        <color theme="0"/>
      </font>
      <fill>
        <patternFill>
          <bgColor rgb="FF800080"/>
        </patternFill>
      </fill>
    </dxf>
    <dxf>
      <font>
        <b/>
        <i val="0"/>
      </font>
      <fill>
        <patternFill>
          <bgColor rgb="FFFFFF00"/>
        </patternFill>
      </fill>
    </dxf>
    <dxf>
      <font>
        <b/>
        <i val="0"/>
      </font>
      <fill>
        <patternFill>
          <bgColor rgb="FF00FF00"/>
        </patternFill>
      </fill>
    </dxf>
    <dxf>
      <font>
        <b/>
        <i val="0"/>
        <color theme="0"/>
      </font>
      <fill>
        <patternFill>
          <bgColor rgb="FFFF0000"/>
        </patternFill>
      </fill>
    </dxf>
    <dxf>
      <font>
        <b/>
        <i val="0"/>
        <color theme="0"/>
      </font>
      <fill>
        <patternFill>
          <bgColor rgb="FF800080"/>
        </patternFill>
      </fill>
    </dxf>
    <dxf>
      <font>
        <b/>
        <i val="0"/>
      </font>
      <fill>
        <patternFill>
          <bgColor rgb="FFFFFF00"/>
        </patternFill>
      </fill>
    </dxf>
    <dxf>
      <font>
        <b/>
        <i val="0"/>
      </font>
      <fill>
        <patternFill>
          <bgColor rgb="FF00FF00"/>
        </patternFill>
      </fill>
    </dxf>
    <dxf>
      <font>
        <b/>
        <i val="0"/>
        <color theme="0"/>
      </font>
      <fill>
        <patternFill>
          <bgColor rgb="FFFF0000"/>
        </patternFill>
      </fill>
    </dxf>
    <dxf>
      <font>
        <b/>
        <i val="0"/>
        <color theme="0"/>
      </font>
      <fill>
        <patternFill>
          <bgColor rgb="FF800080"/>
        </patternFill>
      </fill>
    </dxf>
    <dxf>
      <font>
        <b/>
        <i val="0"/>
      </font>
      <fill>
        <patternFill>
          <bgColor rgb="FFFFFF00"/>
        </patternFill>
      </fill>
    </dxf>
    <dxf>
      <font>
        <b/>
        <i val="0"/>
      </font>
      <fill>
        <patternFill>
          <bgColor rgb="FF00FF00"/>
        </patternFill>
      </fill>
    </dxf>
    <dxf>
      <font>
        <b/>
        <i val="0"/>
        <color theme="0"/>
      </font>
      <fill>
        <patternFill>
          <bgColor rgb="FFFF0000"/>
        </patternFill>
      </fill>
    </dxf>
    <dxf>
      <font>
        <b/>
        <i val="0"/>
        <color theme="0"/>
      </font>
      <fill>
        <patternFill>
          <bgColor rgb="FF800080"/>
        </patternFill>
      </fill>
    </dxf>
    <dxf>
      <font>
        <b/>
        <i val="0"/>
      </font>
      <fill>
        <patternFill>
          <bgColor rgb="FFFFFF00"/>
        </patternFill>
      </fill>
    </dxf>
    <dxf>
      <font>
        <b/>
        <i val="0"/>
      </font>
      <fill>
        <patternFill>
          <bgColor rgb="FF00FF00"/>
        </patternFill>
      </fill>
    </dxf>
    <dxf>
      <font>
        <b/>
        <i val="0"/>
        <color theme="0"/>
      </font>
      <fill>
        <patternFill>
          <bgColor rgb="FFFF0000"/>
        </patternFill>
      </fill>
    </dxf>
    <dxf>
      <font>
        <b/>
        <i val="0"/>
        <color theme="0"/>
      </font>
      <fill>
        <patternFill>
          <bgColor rgb="FF800080"/>
        </patternFill>
      </fill>
    </dxf>
    <dxf>
      <font>
        <b/>
        <i val="0"/>
      </font>
      <fill>
        <patternFill>
          <bgColor rgb="FFFFFF00"/>
        </patternFill>
      </fill>
    </dxf>
    <dxf>
      <font>
        <b/>
        <i val="0"/>
      </font>
      <fill>
        <patternFill>
          <bgColor rgb="FF00FF00"/>
        </patternFill>
      </fill>
    </dxf>
    <dxf>
      <font>
        <b/>
        <i val="0"/>
        <color theme="0"/>
      </font>
      <fill>
        <patternFill>
          <bgColor rgb="FFFF0000"/>
        </patternFill>
      </fill>
    </dxf>
    <dxf>
      <font>
        <b/>
        <i val="0"/>
        <color theme="0"/>
      </font>
      <fill>
        <patternFill>
          <bgColor rgb="FF800080"/>
        </patternFill>
      </fill>
    </dxf>
    <dxf>
      <font>
        <b/>
        <i val="0"/>
      </font>
      <fill>
        <patternFill>
          <bgColor rgb="FFFFFF00"/>
        </patternFill>
      </fill>
    </dxf>
    <dxf>
      <font>
        <b/>
        <i val="0"/>
      </font>
      <fill>
        <patternFill>
          <bgColor rgb="FF00FF00"/>
        </patternFill>
      </fill>
    </dxf>
    <dxf>
      <font>
        <b/>
        <i val="0"/>
        <color theme="0"/>
      </font>
      <fill>
        <patternFill>
          <bgColor rgb="FFFF0000"/>
        </patternFill>
      </fill>
    </dxf>
    <dxf>
      <font>
        <b/>
        <i val="0"/>
        <color theme="0"/>
      </font>
      <fill>
        <patternFill>
          <bgColor rgb="FF800080"/>
        </patternFill>
      </fill>
    </dxf>
    <dxf>
      <font>
        <b/>
        <i val="0"/>
      </font>
      <fill>
        <patternFill>
          <bgColor rgb="FFFFFF00"/>
        </patternFill>
      </fill>
    </dxf>
    <dxf>
      <font>
        <b/>
        <i val="0"/>
      </font>
      <fill>
        <patternFill>
          <bgColor rgb="FF00FF00"/>
        </patternFill>
      </fill>
    </dxf>
    <dxf>
      <font>
        <b/>
        <i val="0"/>
        <color theme="0"/>
      </font>
      <fill>
        <patternFill>
          <bgColor rgb="FFFF0000"/>
        </patternFill>
      </fill>
    </dxf>
    <dxf>
      <font>
        <b/>
        <i val="0"/>
        <color theme="0"/>
      </font>
      <fill>
        <patternFill>
          <bgColor rgb="FF800080"/>
        </patternFill>
      </fill>
    </dxf>
    <dxf>
      <font>
        <b/>
        <i val="0"/>
      </font>
      <fill>
        <patternFill>
          <bgColor rgb="FFFFFF00"/>
        </patternFill>
      </fill>
    </dxf>
    <dxf>
      <font>
        <b/>
        <i val="0"/>
      </font>
      <fill>
        <patternFill>
          <bgColor rgb="FF00FF00"/>
        </patternFill>
      </fill>
    </dxf>
    <dxf>
      <font>
        <b/>
        <i val="0"/>
        <color theme="0"/>
      </font>
      <fill>
        <patternFill>
          <bgColor rgb="FFFF0000"/>
        </patternFill>
      </fill>
    </dxf>
    <dxf>
      <font>
        <b/>
        <i val="0"/>
        <color theme="0"/>
      </font>
      <fill>
        <patternFill>
          <bgColor rgb="FF800080"/>
        </patternFill>
      </fill>
    </dxf>
    <dxf>
      <font>
        <b/>
        <i val="0"/>
      </font>
      <fill>
        <patternFill>
          <bgColor rgb="FFFFFF00"/>
        </patternFill>
      </fill>
    </dxf>
    <dxf>
      <font>
        <b/>
        <i val="0"/>
      </font>
      <fill>
        <patternFill>
          <bgColor rgb="FF00FF00"/>
        </patternFill>
      </fill>
    </dxf>
    <dxf>
      <font>
        <b/>
        <i val="0"/>
        <color theme="0"/>
      </font>
      <fill>
        <patternFill>
          <bgColor rgb="FFFF0000"/>
        </patternFill>
      </fill>
    </dxf>
    <dxf>
      <font>
        <b/>
        <i val="0"/>
        <color theme="0"/>
      </font>
      <fill>
        <patternFill>
          <bgColor rgb="FF800080"/>
        </patternFill>
      </fill>
    </dxf>
    <dxf>
      <font>
        <b/>
        <i val="0"/>
      </font>
      <fill>
        <patternFill>
          <bgColor rgb="FFFFFF00"/>
        </patternFill>
      </fill>
    </dxf>
    <dxf>
      <font>
        <b/>
        <i val="0"/>
      </font>
      <fill>
        <patternFill>
          <bgColor rgb="FF00FF00"/>
        </patternFill>
      </fill>
    </dxf>
    <dxf>
      <font>
        <b/>
        <i val="0"/>
        <color theme="0"/>
      </font>
      <fill>
        <patternFill>
          <bgColor rgb="FFFF0000"/>
        </patternFill>
      </fill>
    </dxf>
    <dxf>
      <font>
        <b/>
        <i val="0"/>
        <color theme="0"/>
      </font>
      <fill>
        <patternFill>
          <bgColor rgb="FF800080"/>
        </patternFill>
      </fill>
    </dxf>
    <dxf>
      <font>
        <b/>
        <i val="0"/>
      </font>
      <fill>
        <patternFill>
          <bgColor rgb="FFFFFF00"/>
        </patternFill>
      </fill>
    </dxf>
    <dxf>
      <font>
        <b/>
        <i val="0"/>
      </font>
      <fill>
        <patternFill>
          <bgColor rgb="FF00FF00"/>
        </patternFill>
      </fill>
    </dxf>
    <dxf>
      <font>
        <b/>
        <i val="0"/>
        <color theme="0"/>
      </font>
      <fill>
        <patternFill>
          <bgColor rgb="FFFF0000"/>
        </patternFill>
      </fill>
    </dxf>
    <dxf>
      <font>
        <b/>
        <i val="0"/>
        <color theme="0"/>
      </font>
      <fill>
        <patternFill>
          <bgColor rgb="FF800080"/>
        </patternFill>
      </fill>
    </dxf>
    <dxf>
      <font>
        <b/>
        <i val="0"/>
      </font>
      <fill>
        <patternFill>
          <bgColor rgb="FFFFFF00"/>
        </patternFill>
      </fill>
    </dxf>
    <dxf>
      <font>
        <b/>
        <i val="0"/>
      </font>
      <fill>
        <patternFill>
          <bgColor rgb="FF00FF00"/>
        </patternFill>
      </fill>
    </dxf>
    <dxf>
      <font>
        <b/>
        <i val="0"/>
        <color theme="0"/>
      </font>
      <fill>
        <patternFill>
          <bgColor rgb="FFFF0000"/>
        </patternFill>
      </fill>
    </dxf>
    <dxf>
      <font>
        <b/>
        <i val="0"/>
        <color theme="0"/>
      </font>
      <fill>
        <patternFill>
          <bgColor rgb="FF800080"/>
        </patternFill>
      </fill>
    </dxf>
    <dxf>
      <font>
        <b/>
        <i val="0"/>
      </font>
      <fill>
        <patternFill>
          <bgColor rgb="FFFFFF00"/>
        </patternFill>
      </fill>
    </dxf>
    <dxf>
      <font>
        <b/>
        <i val="0"/>
      </font>
      <fill>
        <patternFill>
          <bgColor rgb="FF00FF00"/>
        </patternFill>
      </fill>
    </dxf>
    <dxf>
      <font>
        <b/>
        <i val="0"/>
        <color theme="0"/>
      </font>
      <fill>
        <patternFill>
          <bgColor rgb="FFFF0000"/>
        </patternFill>
      </fill>
    </dxf>
    <dxf>
      <font>
        <b/>
        <i val="0"/>
        <color theme="0"/>
      </font>
      <fill>
        <patternFill>
          <bgColor rgb="FF800080"/>
        </patternFill>
      </fill>
    </dxf>
    <dxf>
      <font>
        <b/>
        <i val="0"/>
      </font>
      <fill>
        <patternFill>
          <bgColor rgb="FFFFFF00"/>
        </patternFill>
      </fill>
    </dxf>
    <dxf>
      <font>
        <b/>
        <i val="0"/>
      </font>
      <fill>
        <patternFill>
          <bgColor rgb="FF00FF00"/>
        </patternFill>
      </fill>
    </dxf>
    <dxf>
      <font>
        <b/>
        <i val="0"/>
        <color theme="0"/>
      </font>
      <fill>
        <patternFill>
          <bgColor rgb="FFFF0000"/>
        </patternFill>
      </fill>
    </dxf>
    <dxf>
      <font>
        <b/>
        <i val="0"/>
        <color theme="0"/>
      </font>
      <fill>
        <patternFill>
          <bgColor rgb="FF800080"/>
        </patternFill>
      </fill>
    </dxf>
    <dxf>
      <font>
        <b/>
        <i val="0"/>
      </font>
      <fill>
        <patternFill>
          <bgColor rgb="FFFFFF00"/>
        </patternFill>
      </fill>
    </dxf>
    <dxf>
      <font>
        <b/>
        <i val="0"/>
      </font>
      <fill>
        <patternFill>
          <bgColor rgb="FF00FF00"/>
        </patternFill>
      </fill>
    </dxf>
    <dxf>
      <font>
        <b/>
        <i val="0"/>
        <color theme="0"/>
      </font>
      <fill>
        <patternFill>
          <bgColor rgb="FFFF0000"/>
        </patternFill>
      </fill>
    </dxf>
    <dxf>
      <font>
        <b/>
        <i val="0"/>
        <color theme="0"/>
      </font>
      <fill>
        <patternFill>
          <bgColor rgb="FF800080"/>
        </patternFill>
      </fill>
    </dxf>
    <dxf>
      <font>
        <b/>
        <i val="0"/>
      </font>
      <fill>
        <patternFill>
          <bgColor rgb="FFFFFF00"/>
        </patternFill>
      </fill>
    </dxf>
    <dxf>
      <font>
        <b/>
        <i val="0"/>
      </font>
      <fill>
        <patternFill>
          <bgColor rgb="FF00FF00"/>
        </patternFill>
      </fill>
    </dxf>
    <dxf>
      <font>
        <b/>
        <i val="0"/>
        <color theme="0"/>
      </font>
      <fill>
        <patternFill>
          <bgColor rgb="FFFF0000"/>
        </patternFill>
      </fill>
    </dxf>
    <dxf>
      <font>
        <b/>
        <i val="0"/>
        <color theme="0"/>
      </font>
      <fill>
        <patternFill>
          <bgColor rgb="FF800080"/>
        </patternFill>
      </fill>
    </dxf>
    <dxf>
      <font>
        <b/>
        <i val="0"/>
      </font>
      <fill>
        <patternFill>
          <bgColor rgb="FFFFFF00"/>
        </patternFill>
      </fill>
    </dxf>
    <dxf>
      <font>
        <b/>
        <i val="0"/>
      </font>
      <fill>
        <patternFill>
          <bgColor rgb="FF00FF00"/>
        </patternFill>
      </fill>
    </dxf>
    <dxf>
      <font>
        <b/>
        <i val="0"/>
        <color theme="0"/>
      </font>
      <fill>
        <patternFill>
          <bgColor rgb="FFFF0000"/>
        </patternFill>
      </fill>
    </dxf>
    <dxf>
      <font>
        <b/>
        <i val="0"/>
        <color theme="0"/>
      </font>
      <fill>
        <patternFill>
          <bgColor rgb="FF800080"/>
        </patternFill>
      </fill>
    </dxf>
    <dxf>
      <font>
        <b/>
        <i val="0"/>
      </font>
      <fill>
        <patternFill>
          <bgColor rgb="FFFFFF00"/>
        </patternFill>
      </fill>
    </dxf>
    <dxf>
      <font>
        <b/>
        <i val="0"/>
      </font>
      <fill>
        <patternFill>
          <bgColor rgb="FF00FF00"/>
        </patternFill>
      </fill>
    </dxf>
    <dxf>
      <font>
        <b/>
        <i val="0"/>
        <color theme="0"/>
      </font>
      <fill>
        <patternFill>
          <bgColor rgb="FFFF0000"/>
        </patternFill>
      </fill>
    </dxf>
    <dxf>
      <font>
        <b/>
        <i val="0"/>
        <color theme="0"/>
      </font>
      <fill>
        <patternFill>
          <bgColor rgb="FF800080"/>
        </patternFill>
      </fill>
    </dxf>
    <dxf>
      <font>
        <b/>
        <i val="0"/>
      </font>
      <fill>
        <patternFill>
          <bgColor rgb="FFFFFF00"/>
        </patternFill>
      </fill>
    </dxf>
    <dxf>
      <font>
        <b/>
        <i val="0"/>
      </font>
      <fill>
        <patternFill>
          <bgColor rgb="FF00FF00"/>
        </patternFill>
      </fill>
    </dxf>
    <dxf>
      <font>
        <b/>
        <i val="0"/>
        <color theme="0"/>
      </font>
      <fill>
        <patternFill>
          <bgColor rgb="FFFF0000"/>
        </patternFill>
      </fill>
    </dxf>
    <dxf>
      <font>
        <b/>
        <i val="0"/>
        <color theme="0"/>
      </font>
      <fill>
        <patternFill>
          <bgColor rgb="FF800080"/>
        </patternFill>
      </fill>
    </dxf>
    <dxf>
      <font>
        <b/>
        <i val="0"/>
      </font>
      <fill>
        <patternFill>
          <bgColor rgb="FFFFFF00"/>
        </patternFill>
      </fill>
    </dxf>
    <dxf>
      <font>
        <b/>
        <i val="0"/>
      </font>
      <fill>
        <patternFill>
          <bgColor rgb="FF00FF00"/>
        </patternFill>
      </fill>
    </dxf>
    <dxf>
      <font>
        <b/>
        <i val="0"/>
        <color theme="0"/>
      </font>
      <fill>
        <patternFill>
          <bgColor rgb="FFFF0000"/>
        </patternFill>
      </fill>
    </dxf>
    <dxf>
      <font>
        <b/>
        <i val="0"/>
        <color theme="0"/>
      </font>
      <fill>
        <patternFill>
          <bgColor rgb="FF800080"/>
        </patternFill>
      </fill>
    </dxf>
    <dxf>
      <font>
        <b/>
        <i val="0"/>
      </font>
      <fill>
        <patternFill>
          <bgColor rgb="FFFFFF00"/>
        </patternFill>
      </fill>
    </dxf>
    <dxf>
      <font>
        <b/>
        <i val="0"/>
      </font>
      <fill>
        <patternFill>
          <bgColor rgb="FF00FF00"/>
        </patternFill>
      </fill>
    </dxf>
    <dxf>
      <font>
        <b/>
        <i val="0"/>
        <color theme="0"/>
      </font>
      <fill>
        <patternFill>
          <bgColor rgb="FFFF0000"/>
        </patternFill>
      </fill>
    </dxf>
    <dxf>
      <font>
        <b/>
        <i val="0"/>
        <color theme="0"/>
      </font>
      <fill>
        <patternFill>
          <bgColor rgb="FF800080"/>
        </patternFill>
      </fill>
    </dxf>
    <dxf>
      <font>
        <b/>
        <i val="0"/>
      </font>
      <fill>
        <patternFill>
          <bgColor rgb="FFFFFF00"/>
        </patternFill>
      </fill>
    </dxf>
    <dxf>
      <font>
        <b/>
        <i val="0"/>
        <color theme="0"/>
      </font>
      <fill>
        <patternFill>
          <bgColor rgb="FFC00000"/>
        </patternFill>
      </fill>
    </dxf>
    <dxf>
      <font>
        <b/>
        <i val="0"/>
      </font>
      <fill>
        <patternFill>
          <bgColor rgb="FF00FF00"/>
        </patternFill>
      </fill>
    </dxf>
    <dxf>
      <font>
        <b/>
        <i val="0"/>
        <color theme="0"/>
      </font>
      <fill>
        <patternFill>
          <bgColor rgb="FFFF0000"/>
        </patternFill>
      </fill>
    </dxf>
    <dxf>
      <font>
        <b/>
        <i val="0"/>
        <color theme="0"/>
      </font>
      <fill>
        <patternFill>
          <bgColor rgb="FF800080"/>
        </patternFill>
      </fill>
    </dxf>
    <dxf>
      <font>
        <b/>
        <i val="0"/>
      </font>
      <fill>
        <patternFill>
          <bgColor rgb="FFFFFF00"/>
        </patternFill>
      </fill>
    </dxf>
    <dxf>
      <font>
        <b/>
        <i val="0"/>
        <color rgb="FFFFFF00"/>
      </font>
      <fill>
        <patternFill>
          <bgColor rgb="FF0000FF"/>
        </patternFill>
      </fill>
    </dxf>
    <dxf>
      <font>
        <color theme="0"/>
      </font>
      <fill>
        <patternFill>
          <bgColor theme="1" tint="0.34998626667073579"/>
        </patternFill>
      </fill>
    </dxf>
    <dxf>
      <font>
        <color theme="0"/>
      </font>
      <fill>
        <patternFill>
          <bgColor theme="1" tint="0.34998626667073579"/>
        </patternFill>
      </fill>
    </dxf>
    <dxf>
      <font>
        <color theme="0"/>
      </font>
      <fill>
        <patternFill>
          <bgColor theme="1" tint="0.34998626667073579"/>
        </patternFill>
      </fill>
    </dxf>
    <dxf>
      <font>
        <color theme="0"/>
      </font>
      <fill>
        <patternFill>
          <bgColor theme="1" tint="0.34998626667073579"/>
        </patternFill>
      </fill>
    </dxf>
    <dxf>
      <font>
        <color theme="0"/>
      </font>
      <fill>
        <patternFill>
          <bgColor theme="1" tint="0.34998626667073579"/>
        </patternFill>
      </fill>
    </dxf>
    <dxf>
      <font>
        <color theme="0"/>
      </font>
      <fill>
        <patternFill>
          <bgColor theme="1" tint="0.34998626667073579"/>
        </patternFill>
      </fill>
    </dxf>
    <dxf>
      <font>
        <b/>
        <i val="0"/>
        <color theme="0"/>
      </font>
      <fill>
        <patternFill>
          <bgColor rgb="FFC00000"/>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ont>
        <b/>
        <i val="0"/>
        <color theme="0"/>
      </font>
      <fill>
        <patternFill>
          <bgColor rgb="FFFF0000"/>
        </patternFill>
      </fill>
    </dxf>
    <dxf>
      <font>
        <b/>
        <i val="0"/>
      </font>
      <fill>
        <patternFill>
          <bgColor rgb="FFFFFF00"/>
        </patternFill>
      </fill>
    </dxf>
    <dxf>
      <font>
        <b/>
        <i val="0"/>
      </font>
      <fill>
        <patternFill>
          <bgColor rgb="FF66FF33"/>
        </patternFill>
      </fill>
    </dxf>
    <dxf>
      <font>
        <b/>
        <i val="0"/>
        <color theme="0"/>
      </font>
      <fill>
        <patternFill>
          <bgColor rgb="FF7030A0"/>
        </patternFill>
      </fill>
    </dxf>
    <dxf>
      <font>
        <b/>
        <i val="0"/>
        <color theme="0"/>
      </font>
      <fill>
        <patternFill>
          <bgColor rgb="FFC00000"/>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ont>
        <b/>
        <i val="0"/>
        <color theme="0"/>
      </font>
      <fill>
        <patternFill>
          <bgColor rgb="FFFF0000"/>
        </patternFill>
      </fill>
    </dxf>
    <dxf>
      <font>
        <b/>
        <i val="0"/>
      </font>
      <fill>
        <patternFill>
          <bgColor rgb="FFFFFF00"/>
        </patternFill>
      </fill>
    </dxf>
    <dxf>
      <font>
        <b/>
        <i val="0"/>
      </font>
      <fill>
        <patternFill>
          <bgColor rgb="FF66FF33"/>
        </patternFill>
      </fill>
    </dxf>
    <dxf>
      <font>
        <b/>
        <i val="0"/>
        <color theme="0"/>
      </font>
      <fill>
        <patternFill>
          <bgColor rgb="FF7030A0"/>
        </patternFill>
      </fill>
    </dxf>
    <dxf>
      <font>
        <b/>
        <i val="0"/>
        <color theme="0"/>
      </font>
      <fill>
        <patternFill>
          <bgColor rgb="FFC00000"/>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ont>
        <b/>
        <i val="0"/>
        <color theme="0"/>
      </font>
      <fill>
        <patternFill>
          <bgColor rgb="FFFF0000"/>
        </patternFill>
      </fill>
    </dxf>
    <dxf>
      <font>
        <b/>
        <i val="0"/>
      </font>
      <fill>
        <patternFill>
          <bgColor rgb="FFFFFF00"/>
        </patternFill>
      </fill>
    </dxf>
    <dxf>
      <font>
        <b/>
        <i val="0"/>
      </font>
      <fill>
        <patternFill>
          <bgColor rgb="FF66FF33"/>
        </patternFill>
      </fill>
    </dxf>
    <dxf>
      <font>
        <b/>
        <i val="0"/>
        <color theme="0"/>
      </font>
      <fill>
        <patternFill>
          <bgColor rgb="FF7030A0"/>
        </patternFill>
      </fill>
    </dxf>
    <dxf>
      <font>
        <b/>
        <i val="0"/>
        <color theme="0"/>
      </font>
      <fill>
        <patternFill>
          <bgColor rgb="FFC00000"/>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ont>
        <b/>
        <i val="0"/>
        <color theme="0"/>
      </font>
      <fill>
        <patternFill>
          <bgColor rgb="FFFF0000"/>
        </patternFill>
      </fill>
    </dxf>
    <dxf>
      <font>
        <b/>
        <i val="0"/>
      </font>
      <fill>
        <patternFill>
          <bgColor rgb="FFFFFF00"/>
        </patternFill>
      </fill>
    </dxf>
    <dxf>
      <font>
        <b/>
        <i val="0"/>
      </font>
      <fill>
        <patternFill>
          <bgColor rgb="FF66FF33"/>
        </patternFill>
      </fill>
    </dxf>
    <dxf>
      <font>
        <b/>
        <i val="0"/>
        <color theme="0"/>
      </font>
      <fill>
        <patternFill>
          <bgColor rgb="FF7030A0"/>
        </patternFill>
      </fill>
    </dxf>
    <dxf>
      <font>
        <b/>
        <i val="0"/>
        <color theme="0"/>
      </font>
      <fill>
        <patternFill>
          <bgColor rgb="FFC00000"/>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ont>
        <b/>
        <i val="0"/>
        <color theme="0"/>
      </font>
      <fill>
        <patternFill>
          <bgColor rgb="FFFF0000"/>
        </patternFill>
      </fill>
    </dxf>
    <dxf>
      <font>
        <b/>
        <i val="0"/>
      </font>
      <fill>
        <patternFill>
          <bgColor rgb="FFFFFF00"/>
        </patternFill>
      </fill>
    </dxf>
    <dxf>
      <font>
        <b/>
        <i val="0"/>
      </font>
      <fill>
        <patternFill>
          <bgColor rgb="FF66FF33"/>
        </patternFill>
      </fill>
    </dxf>
    <dxf>
      <font>
        <b/>
        <i val="0"/>
        <color theme="0"/>
      </font>
      <fill>
        <patternFill>
          <bgColor rgb="FF7030A0"/>
        </patternFill>
      </fill>
    </dxf>
    <dxf>
      <font>
        <b/>
        <i val="0"/>
        <color theme="0"/>
      </font>
      <fill>
        <patternFill>
          <bgColor rgb="FFC00000"/>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ont>
        <b/>
        <i val="0"/>
        <color theme="0"/>
      </font>
      <fill>
        <patternFill>
          <bgColor rgb="FFFF0000"/>
        </patternFill>
      </fill>
    </dxf>
    <dxf>
      <font>
        <b/>
        <i val="0"/>
      </font>
      <fill>
        <patternFill>
          <bgColor rgb="FFFFFF00"/>
        </patternFill>
      </fill>
    </dxf>
    <dxf>
      <font>
        <b/>
        <i val="0"/>
      </font>
      <fill>
        <patternFill>
          <bgColor rgb="FF66FF33"/>
        </patternFill>
      </fill>
    </dxf>
    <dxf>
      <font>
        <b/>
        <i val="0"/>
        <color theme="0"/>
      </font>
      <fill>
        <patternFill>
          <bgColor rgb="FF7030A0"/>
        </patternFill>
      </fill>
    </dxf>
    <dxf>
      <font>
        <b/>
        <i val="0"/>
        <color theme="0"/>
      </font>
      <fill>
        <patternFill>
          <bgColor rgb="FFC00000"/>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ont>
        <b/>
        <i val="0"/>
        <color theme="0"/>
      </font>
      <fill>
        <patternFill>
          <bgColor rgb="FFFF0000"/>
        </patternFill>
      </fill>
    </dxf>
    <dxf>
      <font>
        <b/>
        <i val="0"/>
      </font>
      <fill>
        <patternFill>
          <bgColor rgb="FFFFFF00"/>
        </patternFill>
      </fill>
    </dxf>
    <dxf>
      <font>
        <b/>
        <i val="0"/>
      </font>
      <fill>
        <patternFill>
          <bgColor rgb="FF66FF33"/>
        </patternFill>
      </fill>
    </dxf>
    <dxf>
      <font>
        <b/>
        <i val="0"/>
        <color theme="0"/>
      </font>
      <fill>
        <patternFill>
          <bgColor rgb="FF7030A0"/>
        </patternFill>
      </fill>
    </dxf>
    <dxf>
      <font>
        <b/>
        <i val="0"/>
        <color theme="0"/>
      </font>
      <fill>
        <patternFill>
          <bgColor rgb="FFC00000"/>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ont>
        <b/>
        <i val="0"/>
        <color theme="0"/>
      </font>
      <fill>
        <patternFill>
          <bgColor rgb="FFFF0000"/>
        </patternFill>
      </fill>
    </dxf>
    <dxf>
      <font>
        <b/>
        <i val="0"/>
      </font>
      <fill>
        <patternFill>
          <bgColor rgb="FFFFFF00"/>
        </patternFill>
      </fill>
    </dxf>
    <dxf>
      <font>
        <b/>
        <i val="0"/>
      </font>
      <fill>
        <patternFill>
          <bgColor rgb="FF66FF33"/>
        </patternFill>
      </fill>
    </dxf>
    <dxf>
      <font>
        <b/>
        <i val="0"/>
        <color theme="0"/>
      </font>
      <fill>
        <patternFill>
          <bgColor rgb="FF7030A0"/>
        </patternFill>
      </fill>
    </dxf>
    <dxf>
      <font>
        <b/>
        <i val="0"/>
        <color theme="0"/>
      </font>
      <fill>
        <patternFill>
          <bgColor rgb="FFC00000"/>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ont>
        <b/>
        <i val="0"/>
        <color theme="0"/>
      </font>
      <fill>
        <patternFill>
          <bgColor rgb="FFFF0000"/>
        </patternFill>
      </fill>
    </dxf>
    <dxf>
      <font>
        <b/>
        <i val="0"/>
      </font>
      <fill>
        <patternFill>
          <bgColor rgb="FFFFFF00"/>
        </patternFill>
      </fill>
    </dxf>
    <dxf>
      <font>
        <b/>
        <i val="0"/>
      </font>
      <fill>
        <patternFill>
          <bgColor rgb="FF66FF33"/>
        </patternFill>
      </fill>
    </dxf>
    <dxf>
      <font>
        <b/>
        <i val="0"/>
        <color theme="0"/>
      </font>
      <fill>
        <patternFill>
          <bgColor rgb="FF7030A0"/>
        </patternFill>
      </fill>
    </dxf>
    <dxf>
      <font>
        <b/>
        <i val="0"/>
        <color theme="0"/>
      </font>
      <fill>
        <patternFill>
          <bgColor rgb="FFC00000"/>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ont>
        <b/>
        <i val="0"/>
        <color theme="0"/>
      </font>
      <fill>
        <patternFill>
          <bgColor rgb="FFFF0000"/>
        </patternFill>
      </fill>
    </dxf>
    <dxf>
      <font>
        <b/>
        <i val="0"/>
      </font>
      <fill>
        <patternFill>
          <bgColor rgb="FFFFFF00"/>
        </patternFill>
      </fill>
    </dxf>
    <dxf>
      <font>
        <b/>
        <i val="0"/>
      </font>
      <fill>
        <patternFill>
          <bgColor rgb="FF66FF33"/>
        </patternFill>
      </fill>
    </dxf>
    <dxf>
      <font>
        <b/>
        <i val="0"/>
        <color theme="0"/>
      </font>
      <fill>
        <patternFill>
          <bgColor rgb="FF7030A0"/>
        </patternFill>
      </fill>
    </dxf>
    <dxf>
      <font>
        <b/>
        <i val="0"/>
        <color theme="0"/>
      </font>
      <fill>
        <patternFill>
          <bgColor rgb="FFC00000"/>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ont>
        <b/>
        <i val="0"/>
        <color theme="0"/>
      </font>
      <fill>
        <patternFill>
          <bgColor rgb="FFFF0000"/>
        </patternFill>
      </fill>
    </dxf>
    <dxf>
      <font>
        <b/>
        <i val="0"/>
      </font>
      <fill>
        <patternFill>
          <bgColor rgb="FFFFFF00"/>
        </patternFill>
      </fill>
    </dxf>
    <dxf>
      <font>
        <b/>
        <i val="0"/>
      </font>
      <fill>
        <patternFill>
          <bgColor rgb="FF66FF33"/>
        </patternFill>
      </fill>
    </dxf>
    <dxf>
      <font>
        <b/>
        <i val="0"/>
        <color theme="0"/>
      </font>
      <fill>
        <patternFill>
          <bgColor rgb="FF7030A0"/>
        </patternFill>
      </fill>
    </dxf>
    <dxf>
      <font>
        <b/>
        <i val="0"/>
        <color theme="0"/>
      </font>
      <fill>
        <patternFill>
          <bgColor rgb="FFC00000"/>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ont>
        <b/>
        <i val="0"/>
        <color theme="0"/>
      </font>
      <fill>
        <patternFill>
          <bgColor rgb="FFFF0000"/>
        </patternFill>
      </fill>
    </dxf>
    <dxf>
      <font>
        <b/>
        <i val="0"/>
      </font>
      <fill>
        <patternFill>
          <bgColor rgb="FFFFFF00"/>
        </patternFill>
      </fill>
    </dxf>
    <dxf>
      <font>
        <b/>
        <i val="0"/>
      </font>
      <fill>
        <patternFill>
          <bgColor rgb="FF66FF33"/>
        </patternFill>
      </fill>
    </dxf>
    <dxf>
      <font>
        <b/>
        <i val="0"/>
        <color theme="0"/>
      </font>
      <fill>
        <patternFill>
          <bgColor rgb="FF7030A0"/>
        </patternFill>
      </fill>
    </dxf>
    <dxf>
      <font>
        <b/>
        <i val="0"/>
        <color theme="0"/>
      </font>
      <fill>
        <patternFill>
          <bgColor rgb="FFC00000"/>
        </patternFill>
      </fill>
    </dxf>
    <dxf>
      <font>
        <b/>
        <i val="0"/>
        <color theme="0"/>
      </font>
      <fill>
        <patternFill>
          <bgColor rgb="FFC00000"/>
        </patternFill>
      </fill>
    </dxf>
    <dxf>
      <font>
        <b/>
        <i val="0"/>
        <color theme="0"/>
      </font>
      <fill>
        <patternFill>
          <bgColor rgb="FFFF0000"/>
        </patternFill>
      </fill>
    </dxf>
    <dxf>
      <font>
        <b/>
        <i val="0"/>
      </font>
      <fill>
        <patternFill>
          <bgColor rgb="FFFFFF00"/>
        </patternFill>
      </fill>
    </dxf>
    <dxf>
      <font>
        <b/>
        <i val="0"/>
      </font>
      <fill>
        <patternFill>
          <bgColor rgb="FF66FF33"/>
        </patternFill>
      </fill>
    </dxf>
    <dxf>
      <font>
        <b/>
        <i val="0"/>
        <color theme="0"/>
      </font>
      <fill>
        <patternFill>
          <bgColor rgb="FF7030A0"/>
        </patternFill>
      </fill>
    </dxf>
  </dxfs>
  <tableStyles count="0" defaultTableStyle="TableStyleMedium9" defaultPivotStyle="PivotStyleLight16"/>
  <colors>
    <mruColors>
      <color rgb="FF0000FF"/>
      <color rgb="FFE6E6E7"/>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631376</xdr:colOff>
      <xdr:row>0</xdr:row>
      <xdr:rowOff>0</xdr:rowOff>
    </xdr:from>
    <xdr:to>
      <xdr:col>0</xdr:col>
      <xdr:colOff>4343405</xdr:colOff>
      <xdr:row>38</xdr:row>
      <xdr:rowOff>67761</xdr:rowOff>
    </xdr:to>
    <xdr:pic>
      <xdr:nvPicPr>
        <xdr:cNvPr id="4" name="Picture 3">
          <a:extLst>
            <a:ext uri="{FF2B5EF4-FFF2-40B4-BE49-F238E27FC236}">
              <a16:creationId xmlns:a16="http://schemas.microsoft.com/office/drawing/2014/main" id="{E4018B47-AFD9-4299-A5D6-B35C84EBAC0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1376" y="0"/>
          <a:ext cx="3712029" cy="58589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4518660</xdr:colOff>
      <xdr:row>0</xdr:row>
      <xdr:rowOff>122859</xdr:rowOff>
    </xdr:from>
    <xdr:ext cx="2359613" cy="749949"/>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4907280" y="122859"/>
          <a:ext cx="2359613" cy="749949"/>
        </a:xfrm>
        <a:prstGeom prst="rect">
          <a:avLst/>
        </a:prstGeom>
        <a:ln>
          <a:solidFill>
            <a:schemeClr val="tx1"/>
          </a:solidFill>
        </a:ln>
        <a:effectLst>
          <a:outerShdw blurRad="50800" dist="38100" algn="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lang="en-US" sz="1050">
              <a:solidFill>
                <a:schemeClr val="tx1">
                  <a:lumMod val="50000"/>
                  <a:lumOff val="50000"/>
                </a:schemeClr>
              </a:solidFill>
            </a:rPr>
            <a:t>1 - Strongly Disagree; No; Never</a:t>
          </a:r>
        </a:p>
        <a:p>
          <a:r>
            <a:rPr lang="en-US" sz="1050">
              <a:solidFill>
                <a:schemeClr val="tx1">
                  <a:lumMod val="50000"/>
                  <a:lumOff val="50000"/>
                </a:schemeClr>
              </a:solidFill>
            </a:rPr>
            <a:t>2 - Somewhat Disagree; Seldom</a:t>
          </a:r>
        </a:p>
        <a:p>
          <a:r>
            <a:rPr lang="en-US" sz="1050">
              <a:solidFill>
                <a:schemeClr val="tx1">
                  <a:lumMod val="50000"/>
                  <a:lumOff val="50000"/>
                </a:schemeClr>
              </a:solidFill>
            </a:rPr>
            <a:t>3 - Somewhat Agree; Occasionally</a:t>
          </a:r>
        </a:p>
        <a:p>
          <a:r>
            <a:rPr lang="en-US" sz="1050">
              <a:solidFill>
                <a:schemeClr val="tx1">
                  <a:lumMod val="50000"/>
                  <a:lumOff val="50000"/>
                </a:schemeClr>
              </a:solidFill>
            </a:rPr>
            <a:t>4 - Strongly Agree; Yes, always or NA</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4518660</xdr:colOff>
      <xdr:row>0</xdr:row>
      <xdr:rowOff>123825</xdr:rowOff>
    </xdr:from>
    <xdr:ext cx="2359613" cy="749949"/>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4907280" y="123825"/>
          <a:ext cx="2359613" cy="749949"/>
        </a:xfrm>
        <a:prstGeom prst="rect">
          <a:avLst/>
        </a:prstGeom>
        <a:ln>
          <a:solidFill>
            <a:schemeClr val="tx1"/>
          </a:solidFill>
        </a:ln>
        <a:effectLst>
          <a:outerShdw blurRad="50800" dist="38100" algn="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lang="en-US" sz="1050">
              <a:solidFill>
                <a:schemeClr val="tx1">
                  <a:lumMod val="50000"/>
                  <a:lumOff val="50000"/>
                </a:schemeClr>
              </a:solidFill>
            </a:rPr>
            <a:t>1 - Strongly Disagree; No; Never</a:t>
          </a:r>
        </a:p>
        <a:p>
          <a:r>
            <a:rPr lang="en-US" sz="1050">
              <a:solidFill>
                <a:schemeClr val="tx1">
                  <a:lumMod val="50000"/>
                  <a:lumOff val="50000"/>
                </a:schemeClr>
              </a:solidFill>
            </a:rPr>
            <a:t>2 - Somewhat Disagree; Seldom</a:t>
          </a:r>
        </a:p>
        <a:p>
          <a:r>
            <a:rPr lang="en-US" sz="1050">
              <a:solidFill>
                <a:schemeClr val="tx1">
                  <a:lumMod val="50000"/>
                  <a:lumOff val="50000"/>
                </a:schemeClr>
              </a:solidFill>
            </a:rPr>
            <a:t>3 - Somewhat Agree; Occasionally</a:t>
          </a:r>
        </a:p>
        <a:p>
          <a:r>
            <a:rPr lang="en-US" sz="1050">
              <a:solidFill>
                <a:schemeClr val="tx1">
                  <a:lumMod val="50000"/>
                  <a:lumOff val="50000"/>
                </a:schemeClr>
              </a:solidFill>
            </a:rPr>
            <a:t>4 - Strongly Agree; Yes, always or NA</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4518660</xdr:colOff>
      <xdr:row>0</xdr:row>
      <xdr:rowOff>123825</xdr:rowOff>
    </xdr:from>
    <xdr:ext cx="2359613" cy="749949"/>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4907280" y="123825"/>
          <a:ext cx="2359613" cy="749949"/>
        </a:xfrm>
        <a:prstGeom prst="rect">
          <a:avLst/>
        </a:prstGeom>
        <a:ln>
          <a:solidFill>
            <a:schemeClr val="tx1"/>
          </a:solidFill>
        </a:ln>
        <a:effectLst>
          <a:outerShdw blurRad="50800" dist="38100" algn="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lang="en-US" sz="1050">
              <a:solidFill>
                <a:schemeClr val="tx1">
                  <a:lumMod val="50000"/>
                  <a:lumOff val="50000"/>
                </a:schemeClr>
              </a:solidFill>
            </a:rPr>
            <a:t>1 - Strongly Disagree; No; Never</a:t>
          </a:r>
        </a:p>
        <a:p>
          <a:r>
            <a:rPr lang="en-US" sz="1050">
              <a:solidFill>
                <a:schemeClr val="tx1">
                  <a:lumMod val="50000"/>
                  <a:lumOff val="50000"/>
                </a:schemeClr>
              </a:solidFill>
            </a:rPr>
            <a:t>2 - Somewhat Disagree; Seldom</a:t>
          </a:r>
        </a:p>
        <a:p>
          <a:r>
            <a:rPr lang="en-US" sz="1050">
              <a:solidFill>
                <a:schemeClr val="tx1">
                  <a:lumMod val="50000"/>
                  <a:lumOff val="50000"/>
                </a:schemeClr>
              </a:solidFill>
            </a:rPr>
            <a:t>3 - Somewhat Agree; Occasionally</a:t>
          </a:r>
        </a:p>
        <a:p>
          <a:r>
            <a:rPr lang="en-US" sz="1050">
              <a:solidFill>
                <a:schemeClr val="tx1">
                  <a:lumMod val="50000"/>
                  <a:lumOff val="50000"/>
                </a:schemeClr>
              </a:solidFill>
            </a:rPr>
            <a:t>4 - Strongly Agree; Yes, always or NA</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4518660</xdr:colOff>
      <xdr:row>0</xdr:row>
      <xdr:rowOff>123825</xdr:rowOff>
    </xdr:from>
    <xdr:ext cx="2359613" cy="749949"/>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4907280" y="123825"/>
          <a:ext cx="2359613" cy="749949"/>
        </a:xfrm>
        <a:prstGeom prst="rect">
          <a:avLst/>
        </a:prstGeom>
        <a:ln>
          <a:solidFill>
            <a:schemeClr val="tx1"/>
          </a:solidFill>
        </a:ln>
        <a:effectLst>
          <a:outerShdw blurRad="50800" dist="38100" algn="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lang="en-US" sz="1050">
              <a:solidFill>
                <a:schemeClr val="tx1">
                  <a:lumMod val="50000"/>
                  <a:lumOff val="50000"/>
                </a:schemeClr>
              </a:solidFill>
            </a:rPr>
            <a:t>1 - Strongly Disagree; No; Never</a:t>
          </a:r>
        </a:p>
        <a:p>
          <a:r>
            <a:rPr lang="en-US" sz="1050">
              <a:solidFill>
                <a:schemeClr val="tx1">
                  <a:lumMod val="50000"/>
                  <a:lumOff val="50000"/>
                </a:schemeClr>
              </a:solidFill>
            </a:rPr>
            <a:t>2 - Somewhat Disagree; Seldom</a:t>
          </a:r>
        </a:p>
        <a:p>
          <a:r>
            <a:rPr lang="en-US" sz="1050">
              <a:solidFill>
                <a:schemeClr val="tx1">
                  <a:lumMod val="50000"/>
                  <a:lumOff val="50000"/>
                </a:schemeClr>
              </a:solidFill>
            </a:rPr>
            <a:t>3 - Somewhat Agree; Occasionally</a:t>
          </a:r>
        </a:p>
        <a:p>
          <a:r>
            <a:rPr lang="en-US" sz="1050">
              <a:solidFill>
                <a:schemeClr val="tx1">
                  <a:lumMod val="50000"/>
                  <a:lumOff val="50000"/>
                </a:schemeClr>
              </a:solidFill>
            </a:rPr>
            <a:t>4 - Strongly Agree; Yes, always or NA</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4518660</xdr:colOff>
      <xdr:row>0</xdr:row>
      <xdr:rowOff>123825</xdr:rowOff>
    </xdr:from>
    <xdr:ext cx="2359613" cy="749949"/>
    <xdr:sp macro="" textlink="">
      <xdr:nvSpPr>
        <xdr:cNvPr id="3" name="TextBox 2">
          <a:extLst>
            <a:ext uri="{FF2B5EF4-FFF2-40B4-BE49-F238E27FC236}">
              <a16:creationId xmlns:a16="http://schemas.microsoft.com/office/drawing/2014/main" id="{00000000-0008-0000-0600-000003000000}"/>
            </a:ext>
          </a:extLst>
        </xdr:cNvPr>
        <xdr:cNvSpPr txBox="1"/>
      </xdr:nvSpPr>
      <xdr:spPr>
        <a:xfrm>
          <a:off x="4907280" y="123825"/>
          <a:ext cx="2359613" cy="749949"/>
        </a:xfrm>
        <a:prstGeom prst="rect">
          <a:avLst/>
        </a:prstGeom>
        <a:ln>
          <a:solidFill>
            <a:schemeClr val="tx1"/>
          </a:solidFill>
        </a:ln>
        <a:effectLst>
          <a:outerShdw blurRad="50800" dist="38100" algn="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lang="en-US" sz="1050">
              <a:solidFill>
                <a:schemeClr val="tx1">
                  <a:lumMod val="50000"/>
                  <a:lumOff val="50000"/>
                </a:schemeClr>
              </a:solidFill>
            </a:rPr>
            <a:t>1 - Strongly Disagree; No; Never</a:t>
          </a:r>
        </a:p>
        <a:p>
          <a:r>
            <a:rPr lang="en-US" sz="1050">
              <a:solidFill>
                <a:schemeClr val="tx1">
                  <a:lumMod val="50000"/>
                  <a:lumOff val="50000"/>
                </a:schemeClr>
              </a:solidFill>
            </a:rPr>
            <a:t>2 - Somewhat Disagree; Seldom</a:t>
          </a:r>
        </a:p>
        <a:p>
          <a:r>
            <a:rPr lang="en-US" sz="1050">
              <a:solidFill>
                <a:schemeClr val="tx1">
                  <a:lumMod val="50000"/>
                  <a:lumOff val="50000"/>
                </a:schemeClr>
              </a:solidFill>
            </a:rPr>
            <a:t>3 - Somewhat Agree; Occasionally</a:t>
          </a:r>
        </a:p>
        <a:p>
          <a:r>
            <a:rPr lang="en-US" sz="1050">
              <a:solidFill>
                <a:schemeClr val="tx1">
                  <a:lumMod val="50000"/>
                  <a:lumOff val="50000"/>
                </a:schemeClr>
              </a:solidFill>
            </a:rPr>
            <a:t>4 - Strongly Agree; Yes, always or NA</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4518660</xdr:colOff>
      <xdr:row>0</xdr:row>
      <xdr:rowOff>123825</xdr:rowOff>
    </xdr:from>
    <xdr:ext cx="2359613" cy="749949"/>
    <xdr:sp macro="" textlink="">
      <xdr:nvSpPr>
        <xdr:cNvPr id="3" name="TextBox 2">
          <a:extLst>
            <a:ext uri="{FF2B5EF4-FFF2-40B4-BE49-F238E27FC236}">
              <a16:creationId xmlns:a16="http://schemas.microsoft.com/office/drawing/2014/main" id="{00000000-0008-0000-0700-000003000000}"/>
            </a:ext>
          </a:extLst>
        </xdr:cNvPr>
        <xdr:cNvSpPr txBox="1"/>
      </xdr:nvSpPr>
      <xdr:spPr>
        <a:xfrm>
          <a:off x="4907280" y="123825"/>
          <a:ext cx="2359613" cy="749949"/>
        </a:xfrm>
        <a:prstGeom prst="rect">
          <a:avLst/>
        </a:prstGeom>
        <a:ln>
          <a:solidFill>
            <a:schemeClr val="tx1"/>
          </a:solidFill>
        </a:ln>
        <a:effectLst>
          <a:outerShdw blurRad="50800" dist="38100" algn="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lang="en-US" sz="1050">
              <a:solidFill>
                <a:schemeClr val="tx1">
                  <a:lumMod val="50000"/>
                  <a:lumOff val="50000"/>
                </a:schemeClr>
              </a:solidFill>
            </a:rPr>
            <a:t>1 - Strongly Disagree; No; Never</a:t>
          </a:r>
        </a:p>
        <a:p>
          <a:r>
            <a:rPr lang="en-US" sz="1050">
              <a:solidFill>
                <a:schemeClr val="tx1">
                  <a:lumMod val="50000"/>
                  <a:lumOff val="50000"/>
                </a:schemeClr>
              </a:solidFill>
            </a:rPr>
            <a:t>2 - Somewhat Disagree; Seldom</a:t>
          </a:r>
        </a:p>
        <a:p>
          <a:r>
            <a:rPr lang="en-US" sz="1050">
              <a:solidFill>
                <a:schemeClr val="tx1">
                  <a:lumMod val="50000"/>
                  <a:lumOff val="50000"/>
                </a:schemeClr>
              </a:solidFill>
            </a:rPr>
            <a:t>3 - Somewhat Agree; Occasionally</a:t>
          </a:r>
        </a:p>
        <a:p>
          <a:r>
            <a:rPr lang="en-US" sz="1050">
              <a:solidFill>
                <a:schemeClr val="tx1">
                  <a:lumMod val="50000"/>
                  <a:lumOff val="50000"/>
                </a:schemeClr>
              </a:solidFill>
            </a:rPr>
            <a:t>4 - Strongly Agree; Yes, always or NA</a:t>
          </a: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10</xdr:col>
      <xdr:colOff>47625</xdr:colOff>
      <xdr:row>5</xdr:row>
      <xdr:rowOff>76200</xdr:rowOff>
    </xdr:from>
    <xdr:to>
      <xdr:col>14</xdr:col>
      <xdr:colOff>0</xdr:colOff>
      <xdr:row>7</xdr:row>
      <xdr:rowOff>0</xdr:rowOff>
    </xdr:to>
    <xdr:sp macro="" textlink="">
      <xdr:nvSpPr>
        <xdr:cNvPr id="2" name="Line Callout 2 1">
          <a:extLst>
            <a:ext uri="{FF2B5EF4-FFF2-40B4-BE49-F238E27FC236}">
              <a16:creationId xmlns:a16="http://schemas.microsoft.com/office/drawing/2014/main" id="{00000000-0008-0000-0A00-000002000000}"/>
            </a:ext>
          </a:extLst>
        </xdr:cNvPr>
        <xdr:cNvSpPr/>
      </xdr:nvSpPr>
      <xdr:spPr>
        <a:xfrm>
          <a:off x="5086350" y="1133475"/>
          <a:ext cx="2409825" cy="304800"/>
        </a:xfrm>
        <a:prstGeom prst="borderCallout2">
          <a:avLst>
            <a:gd name="adj1" fmla="val 18750"/>
            <a:gd name="adj2" fmla="val -8333"/>
            <a:gd name="adj3" fmla="val 18750"/>
            <a:gd name="adj4" fmla="val -16667"/>
            <a:gd name="adj5" fmla="val 125420"/>
            <a:gd name="adj6" fmla="val -4404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US" sz="1000" b="1"/>
            <a:t>Copy From Here in Participants Workbook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60minutecfo.com/" TargetMode="External"/><Relationship Id="rId1" Type="http://schemas.openxmlformats.org/officeDocument/2006/relationships/hyperlink" Target="http://www.leadtosucceed.biz/"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60minutecfo.com/" TargetMode="Externa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600"/>
    <pageSetUpPr fitToPage="1"/>
  </sheetPr>
  <dimension ref="A40:G41"/>
  <sheetViews>
    <sheetView showGridLines="0" showRowColHeaders="0" tabSelected="1" workbookViewId="0">
      <selection activeCell="A40" sqref="A40:G40"/>
    </sheetView>
  </sheetViews>
  <sheetFormatPr defaultColWidth="0" defaultRowHeight="12" customHeight="1" x14ac:dyDescent="0.25"/>
  <cols>
    <col min="1" max="1" width="73.7109375" style="457" customWidth="1"/>
    <col min="2" max="4" width="9.7109375" style="457" hidden="1" customWidth="1"/>
    <col min="5" max="5" width="10" style="457" hidden="1" customWidth="1"/>
    <col min="6" max="16384" width="9.7109375" style="457" hidden="1"/>
  </cols>
  <sheetData>
    <row r="40" spans="1:7" ht="12" customHeight="1" x14ac:dyDescent="0.25">
      <c r="A40" s="504" t="s">
        <v>336</v>
      </c>
      <c r="B40" s="504"/>
      <c r="C40" s="504"/>
      <c r="D40" s="504"/>
      <c r="E40" s="504"/>
      <c r="F40" s="504"/>
      <c r="G40" s="504"/>
    </row>
    <row r="41" spans="1:7" ht="12" customHeight="1" x14ac:dyDescent="0.25">
      <c r="A41" s="458" t="s">
        <v>327</v>
      </c>
    </row>
  </sheetData>
  <sheetProtection algorithmName="SHA-512" hashValue="msBsVngAYPsQ401t71d+Ie3qqEtLvSt0iSZN7GaJZei8OiPQ4sfgSrGSm5Rxs+IK0xDK6MRjKcNZh6WE9zrgOA==" saltValue="N5dfVxFg0YIfB1SRWp8hjg==" spinCount="100000" sheet="1" objects="1" scenarios="1"/>
  <mergeCells count="1">
    <mergeCell ref="A40:G40"/>
  </mergeCells>
  <hyperlinks>
    <hyperlink ref="A40" r:id="rId1" display="Click here to buy the Survival Manual"/>
    <hyperlink ref="A40:G40" r:id="rId2" display="Preview and/or purchase the 60 Minute CFO."/>
  </hyperlinks>
  <printOptions horizontalCentered="1"/>
  <pageMargins left="0.25" right="0.25" top="0.5" bottom="0.5" header="0" footer="0.25"/>
  <pageSetup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8"/>
  </sheetPr>
  <dimension ref="A1:K44"/>
  <sheetViews>
    <sheetView showGridLines="0" zoomScaleNormal="100" zoomScaleSheetLayoutView="100" workbookViewId="0">
      <selection activeCell="A3" sqref="A3"/>
    </sheetView>
  </sheetViews>
  <sheetFormatPr defaultColWidth="0" defaultRowHeight="12.95" customHeight="1" zeroHeight="1" x14ac:dyDescent="0.25"/>
  <cols>
    <col min="1" max="1" width="2.85546875" style="2" customWidth="1"/>
    <col min="2" max="2" width="3.28515625" style="2" customWidth="1"/>
    <col min="3" max="3" width="2.42578125" style="2" customWidth="1"/>
    <col min="4" max="6" width="9.140625" style="2" customWidth="1"/>
    <col min="7" max="7" width="10.140625" style="2" customWidth="1"/>
    <col min="8" max="8" width="9.140625" style="2" customWidth="1"/>
    <col min="9" max="9" width="35" style="2" customWidth="1"/>
    <col min="10" max="10" width="9.140625" style="2" customWidth="1"/>
    <col min="11" max="11" width="0.28515625" style="21" customWidth="1"/>
    <col min="12" max="16384" width="0" style="2" hidden="1"/>
  </cols>
  <sheetData>
    <row r="1" spans="1:11" ht="21.4" customHeight="1" thickTop="1" x14ac:dyDescent="0.25">
      <c r="A1" s="517" t="str">
        <f>CompiliationCompany</f>
        <v>(Company Name)</v>
      </c>
      <c r="B1" s="518"/>
      <c r="C1" s="518"/>
      <c r="D1" s="518"/>
      <c r="E1" s="518"/>
      <c r="F1" s="518"/>
      <c r="G1" s="518"/>
      <c r="H1" s="518"/>
      <c r="I1" s="518"/>
      <c r="J1" s="519"/>
      <c r="K1" s="20"/>
    </row>
    <row r="2" spans="1:11" ht="21.4" customHeight="1" thickBot="1" x14ac:dyDescent="0.3">
      <c r="A2" s="520" t="str">
        <f>"BUSINESS REVIEW v"&amp;RIGHT(Version,3)</f>
        <v>BUSINESS REVIEW v7.0</v>
      </c>
      <c r="B2" s="521"/>
      <c r="C2" s="521"/>
      <c r="D2" s="521"/>
      <c r="E2" s="521"/>
      <c r="F2" s="521"/>
      <c r="G2" s="521"/>
      <c r="H2" s="521"/>
      <c r="I2" s="521"/>
      <c r="J2" s="522"/>
      <c r="K2" s="20"/>
    </row>
    <row r="3" spans="1:11" ht="11.1" customHeight="1" thickTop="1" x14ac:dyDescent="0.25">
      <c r="A3" s="462"/>
      <c r="B3" s="463"/>
      <c r="C3" s="463"/>
      <c r="D3" s="463"/>
      <c r="E3" s="463"/>
      <c r="F3" s="463"/>
      <c r="G3" s="463"/>
      <c r="H3" s="463"/>
      <c r="I3" s="463"/>
      <c r="J3" s="464"/>
      <c r="K3" s="20"/>
    </row>
    <row r="4" spans="1:11" ht="15" x14ac:dyDescent="0.25">
      <c r="A4" s="465" t="s">
        <v>110</v>
      </c>
      <c r="B4" s="466"/>
      <c r="C4" s="466"/>
      <c r="D4" s="466"/>
      <c r="E4" s="466"/>
      <c r="F4" s="466"/>
      <c r="G4" s="466"/>
      <c r="H4" s="466"/>
      <c r="I4" s="466"/>
      <c r="J4" s="467"/>
      <c r="K4" s="20"/>
    </row>
    <row r="5" spans="1:11" ht="5.25" customHeight="1" x14ac:dyDescent="0.25">
      <c r="A5" s="468"/>
      <c r="B5" s="220"/>
      <c r="C5" s="220"/>
      <c r="D5" s="220"/>
      <c r="E5" s="220"/>
      <c r="F5" s="220"/>
      <c r="G5" s="220"/>
      <c r="H5" s="220"/>
      <c r="I5" s="220"/>
      <c r="J5" s="469"/>
      <c r="K5" s="20"/>
    </row>
    <row r="6" spans="1:11" ht="59.25" customHeight="1" x14ac:dyDescent="0.25">
      <c r="A6" s="523" t="s">
        <v>325</v>
      </c>
      <c r="B6" s="524"/>
      <c r="C6" s="524"/>
      <c r="D6" s="524"/>
      <c r="E6" s="524"/>
      <c r="F6" s="524"/>
      <c r="G6" s="524"/>
      <c r="H6" s="524"/>
      <c r="I6" s="524"/>
      <c r="J6" s="525"/>
    </row>
    <row r="7" spans="1:11" ht="28.5" customHeight="1" x14ac:dyDescent="0.25">
      <c r="A7" s="526" t="s">
        <v>231</v>
      </c>
      <c r="B7" s="527"/>
      <c r="C7" s="527"/>
      <c r="D7" s="527"/>
      <c r="E7" s="527"/>
      <c r="F7" s="527"/>
      <c r="G7" s="527"/>
      <c r="H7" s="527"/>
      <c r="I7" s="527"/>
      <c r="J7" s="528"/>
    </row>
    <row r="8" spans="1:11" ht="18" customHeight="1" x14ac:dyDescent="0.25">
      <c r="A8" s="468"/>
      <c r="B8" s="527" t="s">
        <v>282</v>
      </c>
      <c r="C8" s="529"/>
      <c r="D8" s="529"/>
      <c r="E8" s="529"/>
      <c r="F8" s="529"/>
      <c r="G8" s="529"/>
      <c r="H8" s="529"/>
      <c r="I8" s="529"/>
      <c r="J8" s="530"/>
    </row>
    <row r="9" spans="1:11" ht="35.450000000000003" customHeight="1" x14ac:dyDescent="0.25">
      <c r="A9" s="468"/>
      <c r="B9" s="527" t="s">
        <v>289</v>
      </c>
      <c r="C9" s="529"/>
      <c r="D9" s="529"/>
      <c r="E9" s="529"/>
      <c r="F9" s="529"/>
      <c r="G9" s="529"/>
      <c r="H9" s="529"/>
      <c r="I9" s="529"/>
      <c r="J9" s="530"/>
    </row>
    <row r="10" spans="1:11" ht="48.75" customHeight="1" x14ac:dyDescent="0.25">
      <c r="A10" s="468"/>
      <c r="B10" s="527" t="s">
        <v>290</v>
      </c>
      <c r="C10" s="529"/>
      <c r="D10" s="529"/>
      <c r="E10" s="529"/>
      <c r="F10" s="529"/>
      <c r="G10" s="529"/>
      <c r="H10" s="529"/>
      <c r="I10" s="529"/>
      <c r="J10" s="530"/>
    </row>
    <row r="11" spans="1:11" ht="18" customHeight="1" x14ac:dyDescent="0.25">
      <c r="A11" s="470"/>
      <c r="B11" s="527" t="s">
        <v>283</v>
      </c>
      <c r="C11" s="529"/>
      <c r="D11" s="529"/>
      <c r="E11" s="529"/>
      <c r="F11" s="529"/>
      <c r="G11" s="529"/>
      <c r="H11" s="529"/>
      <c r="I11" s="529"/>
      <c r="J11" s="530"/>
    </row>
    <row r="12" spans="1:11" ht="51.75" customHeight="1" x14ac:dyDescent="0.25">
      <c r="A12" s="526" t="s">
        <v>291</v>
      </c>
      <c r="B12" s="527"/>
      <c r="C12" s="527"/>
      <c r="D12" s="527"/>
      <c r="E12" s="527"/>
      <c r="F12" s="527"/>
      <c r="G12" s="527"/>
      <c r="H12" s="527"/>
      <c r="I12" s="527"/>
      <c r="J12" s="528"/>
    </row>
    <row r="13" spans="1:11" ht="35.25" customHeight="1" x14ac:dyDescent="0.25">
      <c r="A13" s="531" t="s">
        <v>229</v>
      </c>
      <c r="B13" s="527"/>
      <c r="C13" s="527"/>
      <c r="D13" s="527"/>
      <c r="E13" s="527"/>
      <c r="F13" s="527"/>
      <c r="G13" s="527"/>
      <c r="H13" s="527"/>
      <c r="I13" s="527"/>
      <c r="J13" s="528"/>
    </row>
    <row r="14" spans="1:11" ht="51.4" customHeight="1" x14ac:dyDescent="0.25">
      <c r="A14" s="532" t="s">
        <v>337</v>
      </c>
      <c r="B14" s="533"/>
      <c r="C14" s="533"/>
      <c r="D14" s="533"/>
      <c r="E14" s="533"/>
      <c r="F14" s="533"/>
      <c r="G14" s="533"/>
      <c r="H14" s="533"/>
      <c r="I14" s="533"/>
      <c r="J14" s="533"/>
    </row>
    <row r="15" spans="1:11" ht="15.75" thickBot="1" x14ac:dyDescent="0.3">
      <c r="A15" s="486"/>
      <c r="B15" s="478"/>
      <c r="C15" s="478"/>
      <c r="D15" s="478"/>
      <c r="E15" s="478"/>
      <c r="F15" s="478"/>
      <c r="G15" s="478"/>
      <c r="H15" s="478"/>
      <c r="I15" s="478"/>
      <c r="J15" s="487" t="s">
        <v>328</v>
      </c>
    </row>
    <row r="16" spans="1:11" ht="3" customHeight="1" thickTop="1" thickBot="1" x14ac:dyDescent="0.3">
      <c r="A16" s="471"/>
      <c r="B16" s="472"/>
      <c r="C16" s="472"/>
      <c r="D16" s="472"/>
      <c r="E16" s="472"/>
      <c r="F16" s="472"/>
      <c r="G16" s="472"/>
      <c r="H16" s="472"/>
      <c r="I16" s="472"/>
      <c r="J16" s="473"/>
    </row>
    <row r="17" spans="1:11" ht="21.4" customHeight="1" thickTop="1" x14ac:dyDescent="0.25">
      <c r="A17" s="517" t="str">
        <f>CompiliationCompany</f>
        <v>(Company Name)</v>
      </c>
      <c r="B17" s="518"/>
      <c r="C17" s="518"/>
      <c r="D17" s="518"/>
      <c r="E17" s="518"/>
      <c r="F17" s="518"/>
      <c r="G17" s="518"/>
      <c r="H17" s="518"/>
      <c r="I17" s="518"/>
      <c r="J17" s="519"/>
      <c r="K17" s="20"/>
    </row>
    <row r="18" spans="1:11" ht="21.4" customHeight="1" thickBot="1" x14ac:dyDescent="0.3">
      <c r="A18" s="520" t="str">
        <f>"BUSINESS REVIEW v"&amp;RIGHT(Version,3)</f>
        <v>BUSINESS REVIEW v7.0</v>
      </c>
      <c r="B18" s="521"/>
      <c r="C18" s="521"/>
      <c r="D18" s="521"/>
      <c r="E18" s="521"/>
      <c r="F18" s="521"/>
      <c r="G18" s="521"/>
      <c r="H18" s="521"/>
      <c r="I18" s="521"/>
      <c r="J18" s="522"/>
      <c r="K18" s="20"/>
    </row>
    <row r="19" spans="1:11" ht="11.1" customHeight="1" thickTop="1" x14ac:dyDescent="0.25">
      <c r="A19" s="474"/>
      <c r="B19" s="475"/>
      <c r="C19" s="475"/>
      <c r="D19" s="475"/>
      <c r="E19" s="475"/>
      <c r="F19" s="475"/>
      <c r="G19" s="475"/>
      <c r="H19" s="475"/>
      <c r="I19" s="475"/>
      <c r="J19" s="476"/>
      <c r="K19" s="20"/>
    </row>
    <row r="20" spans="1:11" ht="15" x14ac:dyDescent="0.25">
      <c r="A20" s="465" t="s">
        <v>109</v>
      </c>
      <c r="B20" s="466"/>
      <c r="C20" s="466"/>
      <c r="D20" s="466"/>
      <c r="E20" s="466"/>
      <c r="F20" s="466"/>
      <c r="G20" s="466"/>
      <c r="H20" s="466"/>
      <c r="I20" s="466"/>
      <c r="J20" s="467"/>
      <c r="K20" s="20"/>
    </row>
    <row r="21" spans="1:11" ht="5.25" customHeight="1" x14ac:dyDescent="0.25">
      <c r="A21" s="468"/>
      <c r="B21" s="220"/>
      <c r="C21" s="220"/>
      <c r="D21" s="220"/>
      <c r="E21" s="220"/>
      <c r="F21" s="220"/>
      <c r="G21" s="220"/>
      <c r="H21" s="220"/>
      <c r="I21" s="220"/>
      <c r="J21" s="469"/>
      <c r="K21" s="20"/>
    </row>
    <row r="22" spans="1:11" ht="59.25" customHeight="1" x14ac:dyDescent="0.25">
      <c r="A22" s="523" t="s">
        <v>326</v>
      </c>
      <c r="B22" s="524"/>
      <c r="C22" s="524"/>
      <c r="D22" s="524"/>
      <c r="E22" s="524"/>
      <c r="F22" s="524"/>
      <c r="G22" s="524"/>
      <c r="H22" s="524"/>
      <c r="I22" s="524"/>
      <c r="J22" s="525"/>
    </row>
    <row r="23" spans="1:11" ht="28.5" customHeight="1" x14ac:dyDescent="0.25">
      <c r="A23" s="526" t="s">
        <v>227</v>
      </c>
      <c r="B23" s="527"/>
      <c r="C23" s="527"/>
      <c r="D23" s="527"/>
      <c r="E23" s="527"/>
      <c r="F23" s="527"/>
      <c r="G23" s="527"/>
      <c r="H23" s="527"/>
      <c r="I23" s="527"/>
      <c r="J23" s="528"/>
    </row>
    <row r="24" spans="1:11" ht="45.75" customHeight="1" x14ac:dyDescent="0.25">
      <c r="A24" s="468"/>
      <c r="B24" s="527" t="s">
        <v>225</v>
      </c>
      <c r="C24" s="527"/>
      <c r="D24" s="529"/>
      <c r="E24" s="529"/>
      <c r="F24" s="529"/>
      <c r="G24" s="529"/>
      <c r="H24" s="529"/>
      <c r="I24" s="529"/>
      <c r="J24" s="530"/>
    </row>
    <row r="25" spans="1:11" ht="33" customHeight="1" x14ac:dyDescent="0.25">
      <c r="A25" s="468"/>
      <c r="B25" s="527" t="s">
        <v>224</v>
      </c>
      <c r="C25" s="527"/>
      <c r="D25" s="529"/>
      <c r="E25" s="529"/>
      <c r="F25" s="529"/>
      <c r="G25" s="529"/>
      <c r="H25" s="529"/>
      <c r="I25" s="529"/>
      <c r="J25" s="530"/>
    </row>
    <row r="26" spans="1:11" ht="14.45" customHeight="1" x14ac:dyDescent="0.25">
      <c r="A26" s="468"/>
      <c r="B26" s="220"/>
      <c r="C26" s="537" t="s">
        <v>284</v>
      </c>
      <c r="D26" s="535"/>
      <c r="E26" s="535"/>
      <c r="F26" s="535"/>
      <c r="G26" s="535"/>
      <c r="H26" s="535"/>
      <c r="I26" s="535"/>
      <c r="J26" s="536"/>
    </row>
    <row r="27" spans="1:11" ht="14.45" customHeight="1" x14ac:dyDescent="0.25">
      <c r="A27" s="468"/>
      <c r="B27" s="220"/>
      <c r="C27" s="220"/>
      <c r="D27" s="527" t="s">
        <v>230</v>
      </c>
      <c r="E27" s="529"/>
      <c r="F27" s="529"/>
      <c r="G27" s="529"/>
      <c r="H27" s="529"/>
      <c r="I27" s="529"/>
      <c r="J27" s="530"/>
    </row>
    <row r="28" spans="1:11" ht="15.75" customHeight="1" x14ac:dyDescent="0.25">
      <c r="A28" s="468"/>
      <c r="B28" s="220"/>
      <c r="C28" s="220"/>
      <c r="D28" s="527" t="s">
        <v>111</v>
      </c>
      <c r="E28" s="529"/>
      <c r="F28" s="529"/>
      <c r="G28" s="529"/>
      <c r="H28" s="529"/>
      <c r="I28" s="529"/>
      <c r="J28" s="530"/>
    </row>
    <row r="29" spans="1:11" ht="33.75" customHeight="1" x14ac:dyDescent="0.25">
      <c r="A29" s="468"/>
      <c r="B29" s="220"/>
      <c r="C29" s="220"/>
      <c r="D29" s="527" t="s">
        <v>223</v>
      </c>
      <c r="E29" s="529"/>
      <c r="F29" s="529"/>
      <c r="G29" s="529"/>
      <c r="H29" s="529"/>
      <c r="I29" s="529"/>
      <c r="J29" s="530"/>
    </row>
    <row r="30" spans="1:11" ht="14.1" customHeight="1" x14ac:dyDescent="0.25">
      <c r="A30" s="468"/>
      <c r="B30" s="220"/>
      <c r="C30" s="534" t="s">
        <v>285</v>
      </c>
      <c r="D30" s="535"/>
      <c r="E30" s="535"/>
      <c r="F30" s="535"/>
      <c r="G30" s="535"/>
      <c r="H30" s="535"/>
      <c r="I30" s="535"/>
      <c r="J30" s="536"/>
    </row>
    <row r="31" spans="1:11" ht="18" customHeight="1" x14ac:dyDescent="0.25">
      <c r="A31" s="468"/>
      <c r="B31" s="220"/>
      <c r="C31" s="220"/>
      <c r="D31" s="527" t="s">
        <v>228</v>
      </c>
      <c r="E31" s="529"/>
      <c r="F31" s="529"/>
      <c r="G31" s="529"/>
      <c r="H31" s="529"/>
      <c r="I31" s="529"/>
      <c r="J31" s="530"/>
    </row>
    <row r="32" spans="1:11" ht="18" customHeight="1" x14ac:dyDescent="0.25">
      <c r="A32" s="468"/>
      <c r="B32" s="220"/>
      <c r="C32" s="220"/>
      <c r="D32" s="527" t="s">
        <v>112</v>
      </c>
      <c r="E32" s="529"/>
      <c r="F32" s="529"/>
      <c r="G32" s="529"/>
      <c r="H32" s="529"/>
      <c r="I32" s="529"/>
      <c r="J32" s="530"/>
    </row>
    <row r="33" spans="1:10" ht="47.25" customHeight="1" x14ac:dyDescent="0.25">
      <c r="A33" s="468"/>
      <c r="B33" s="477"/>
      <c r="C33" s="477"/>
      <c r="D33" s="527" t="s">
        <v>286</v>
      </c>
      <c r="E33" s="529"/>
      <c r="F33" s="529"/>
      <c r="G33" s="529"/>
      <c r="H33" s="529"/>
      <c r="I33" s="529"/>
      <c r="J33" s="530"/>
    </row>
    <row r="34" spans="1:10" ht="18" customHeight="1" x14ac:dyDescent="0.25">
      <c r="A34" s="468"/>
      <c r="B34" s="477"/>
      <c r="C34" s="477"/>
      <c r="D34" s="527" t="s">
        <v>287</v>
      </c>
      <c r="E34" s="529"/>
      <c r="F34" s="529"/>
      <c r="G34" s="529"/>
      <c r="H34" s="529"/>
      <c r="I34" s="529"/>
      <c r="J34" s="530"/>
    </row>
    <row r="35" spans="1:10" ht="18" customHeight="1" x14ac:dyDescent="0.25">
      <c r="A35" s="468"/>
      <c r="B35" s="477"/>
      <c r="C35" s="477"/>
      <c r="D35" s="527" t="s">
        <v>292</v>
      </c>
      <c r="E35" s="529"/>
      <c r="F35" s="529"/>
      <c r="G35" s="529"/>
      <c r="H35" s="529"/>
      <c r="I35" s="529"/>
      <c r="J35" s="530"/>
    </row>
    <row r="36" spans="1:10" ht="48" customHeight="1" x14ac:dyDescent="0.25">
      <c r="A36" s="470"/>
      <c r="B36" s="478"/>
      <c r="C36" s="478"/>
      <c r="D36" s="527" t="s">
        <v>222</v>
      </c>
      <c r="E36" s="529"/>
      <c r="F36" s="529"/>
      <c r="G36" s="529"/>
      <c r="H36" s="529"/>
      <c r="I36" s="529"/>
      <c r="J36" s="530"/>
    </row>
    <row r="37" spans="1:10" ht="18" customHeight="1" x14ac:dyDescent="0.25">
      <c r="A37" s="470"/>
      <c r="B37" s="478"/>
      <c r="C37" s="478"/>
      <c r="D37" s="478"/>
      <c r="E37" s="527" t="s">
        <v>173</v>
      </c>
      <c r="F37" s="529"/>
      <c r="G37" s="529"/>
      <c r="H37" s="529"/>
      <c r="I37" s="529"/>
      <c r="J37" s="530"/>
    </row>
    <row r="38" spans="1:10" ht="18" customHeight="1" x14ac:dyDescent="0.25">
      <c r="A38" s="470"/>
      <c r="B38" s="478"/>
      <c r="C38" s="478"/>
      <c r="D38" s="478"/>
      <c r="E38" s="527" t="s">
        <v>108</v>
      </c>
      <c r="F38" s="529"/>
      <c r="G38" s="529"/>
      <c r="H38" s="529"/>
      <c r="I38" s="529"/>
      <c r="J38" s="530"/>
    </row>
    <row r="39" spans="1:10" ht="18" customHeight="1" x14ac:dyDescent="0.25">
      <c r="A39" s="470"/>
      <c r="B39" s="478"/>
      <c r="C39" s="478"/>
      <c r="D39" s="527" t="s">
        <v>107</v>
      </c>
      <c r="E39" s="529"/>
      <c r="F39" s="529"/>
      <c r="G39" s="529"/>
      <c r="H39" s="529"/>
      <c r="I39" s="529"/>
      <c r="J39" s="530"/>
    </row>
    <row r="40" spans="1:10" ht="18" customHeight="1" x14ac:dyDescent="0.25">
      <c r="A40" s="470"/>
      <c r="B40" s="478"/>
      <c r="C40" s="478"/>
      <c r="D40" s="527" t="s">
        <v>113</v>
      </c>
      <c r="E40" s="529"/>
      <c r="F40" s="529"/>
      <c r="G40" s="529"/>
      <c r="H40" s="529"/>
      <c r="I40" s="529"/>
      <c r="J40" s="530"/>
    </row>
    <row r="41" spans="1:10" ht="46.9" customHeight="1" x14ac:dyDescent="0.25">
      <c r="A41" s="526" t="s">
        <v>288</v>
      </c>
      <c r="B41" s="527"/>
      <c r="C41" s="527"/>
      <c r="D41" s="527"/>
      <c r="E41" s="527"/>
      <c r="F41" s="527"/>
      <c r="G41" s="527"/>
      <c r="H41" s="527"/>
      <c r="I41" s="527"/>
      <c r="J41" s="528"/>
    </row>
    <row r="42" spans="1:10" ht="35.25" customHeight="1" x14ac:dyDescent="0.25">
      <c r="A42" s="531" t="s">
        <v>229</v>
      </c>
      <c r="B42" s="527"/>
      <c r="C42" s="527"/>
      <c r="D42" s="527"/>
      <c r="E42" s="527"/>
      <c r="F42" s="527"/>
      <c r="G42" s="527"/>
      <c r="H42" s="527"/>
      <c r="I42" s="527"/>
      <c r="J42" s="528"/>
    </row>
    <row r="43" spans="1:10" ht="12.95" customHeight="1" thickBot="1" x14ac:dyDescent="0.3">
      <c r="A43" s="479"/>
      <c r="B43" s="480"/>
      <c r="C43" s="480"/>
      <c r="D43" s="480"/>
      <c r="E43" s="480"/>
      <c r="F43" s="480"/>
      <c r="G43" s="480"/>
      <c r="H43" s="480"/>
      <c r="I43" s="480"/>
      <c r="J43" s="485" t="s">
        <v>328</v>
      </c>
    </row>
    <row r="44" spans="1:10" ht="12.95" hidden="1" customHeight="1" thickTop="1" x14ac:dyDescent="0.25"/>
  </sheetData>
  <sheetProtection algorithmName="SHA-512" hashValue="jj3uhRhP3jDvFpHfEXOh85q7nWlaVXs3joGZCljFu58Dz1sSP+AF7UWrol4E6Rv0IJdCaAhuwDymVngGaDC3fQ==" saltValue="ir0l0xuzVt4uoLkeGE0etA==" spinCount="100000" sheet="1" objects="1" scenarios="1"/>
  <mergeCells count="34">
    <mergeCell ref="C26:J26"/>
    <mergeCell ref="D40:J40"/>
    <mergeCell ref="D29:J29"/>
    <mergeCell ref="D32:J32"/>
    <mergeCell ref="D33:J33"/>
    <mergeCell ref="D27:J27"/>
    <mergeCell ref="D31:J31"/>
    <mergeCell ref="D34:J34"/>
    <mergeCell ref="A42:J42"/>
    <mergeCell ref="D28:J28"/>
    <mergeCell ref="D35:J35"/>
    <mergeCell ref="D36:J36"/>
    <mergeCell ref="E38:J38"/>
    <mergeCell ref="E37:J37"/>
    <mergeCell ref="D39:J39"/>
    <mergeCell ref="A41:J41"/>
    <mergeCell ref="C30:J30"/>
    <mergeCell ref="A23:J23"/>
    <mergeCell ref="B25:J25"/>
    <mergeCell ref="A13:J13"/>
    <mergeCell ref="A22:J22"/>
    <mergeCell ref="B24:J24"/>
    <mergeCell ref="A14:J14"/>
    <mergeCell ref="A1:J1"/>
    <mergeCell ref="A2:J2"/>
    <mergeCell ref="A17:J17"/>
    <mergeCell ref="A18:J18"/>
    <mergeCell ref="A6:J6"/>
    <mergeCell ref="A7:J7"/>
    <mergeCell ref="A12:J12"/>
    <mergeCell ref="B8:J8"/>
    <mergeCell ref="B9:J9"/>
    <mergeCell ref="B10:J10"/>
    <mergeCell ref="B11:J11"/>
  </mergeCells>
  <phoneticPr fontId="5" type="noConversion"/>
  <hyperlinks>
    <hyperlink ref="A14:J14" r:id="rId1" display="5. The book 60 Minute CFO by David A. Duryee is a helpful supplement to this workbook and is available for purchase at www.60MinuteCFO.com or on Amazon. A preview of the book, as well as this software and several others designed to be used with the book, "/>
  </hyperlinks>
  <printOptions horizontalCentered="1"/>
  <pageMargins left="0.25" right="0.25" top="0.15" bottom="0.75" header="0" footer="0.15"/>
  <pageSetup fitToHeight="2" orientation="portrait" r:id="rId2"/>
  <headerFooter>
    <oddFooter xml:space="preserve">&amp;L&amp;9Date and Time Printed:  &amp;D    &amp;T
Filename:  &amp;Z&amp;F
Worksheet:  &amp;A      Page &amp;P of &amp;N
</oddFooter>
  </headerFooter>
  <rowBreaks count="1" manualBreakCount="1">
    <brk id="16" max="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8"/>
  </sheetPr>
  <dimension ref="A1:AI182"/>
  <sheetViews>
    <sheetView showGridLines="0" showRowColHeaders="0" zoomScaleNormal="100" zoomScaleSheetLayoutView="100" workbookViewId="0">
      <pane xSplit="5" topLeftCell="F1" activePane="topRight" state="frozen"/>
      <selection pane="topRight" activeCell="F1" sqref="F1:N1"/>
    </sheetView>
  </sheetViews>
  <sheetFormatPr defaultColWidth="0" defaultRowHeight="15" zeroHeight="1" x14ac:dyDescent="0.25"/>
  <cols>
    <col min="1" max="1" width="5.5703125" style="420" customWidth="1"/>
    <col min="2" max="2" width="0.42578125" style="450" customWidth="1"/>
    <col min="3" max="4" width="9.140625" style="2" customWidth="1"/>
    <col min="5" max="5" width="10.5703125" style="2" bestFit="1" customWidth="1"/>
    <col min="6" max="6" width="9.140625" style="2" customWidth="1"/>
    <col min="7" max="10" width="7.85546875" style="2" customWidth="1"/>
    <col min="11" max="11" width="12.5703125" style="2" customWidth="1"/>
    <col min="12" max="12" width="7.140625" style="2" customWidth="1"/>
    <col min="13" max="13" width="8" style="2" customWidth="1"/>
    <col min="14" max="14" width="9.140625" style="2" customWidth="1"/>
    <col min="15" max="16" width="0.28515625" style="2" customWidth="1"/>
    <col min="17" max="18" width="6.5703125" style="2" hidden="1" customWidth="1"/>
    <col min="19" max="19" width="10.28515625" style="267" hidden="1" customWidth="1"/>
    <col min="20" max="24" width="9.5703125" style="267" hidden="1" customWidth="1"/>
    <col min="25" max="25" width="8.5703125" style="2" hidden="1" customWidth="1"/>
    <col min="26" max="27" width="8" style="2" hidden="1" customWidth="1"/>
    <col min="28" max="28" width="8.5703125" style="2" hidden="1" customWidth="1"/>
    <col min="29" max="29" width="8" style="2" hidden="1" customWidth="1"/>
    <col min="30" max="30" width="8.5703125" style="2" hidden="1" customWidth="1"/>
    <col min="31" max="31" width="8" style="2" hidden="1" customWidth="1"/>
    <col min="32" max="32" width="8.5703125" style="2" hidden="1" customWidth="1"/>
    <col min="33" max="35" width="8" style="2" hidden="1" customWidth="1"/>
    <col min="36" max="16384" width="9.140625" style="2" hidden="1"/>
  </cols>
  <sheetData>
    <row r="1" spans="3:24" ht="15" customHeight="1" x14ac:dyDescent="0.25">
      <c r="C1" s="540" t="s">
        <v>52</v>
      </c>
      <c r="D1" s="540"/>
      <c r="E1" s="233"/>
      <c r="F1" s="541" t="s">
        <v>206</v>
      </c>
      <c r="G1" s="541"/>
      <c r="H1" s="541"/>
      <c r="I1" s="541"/>
      <c r="J1" s="541"/>
      <c r="K1" s="541"/>
      <c r="L1" s="541"/>
      <c r="M1" s="541"/>
      <c r="N1" s="541"/>
      <c r="S1" s="273" t="s">
        <v>167</v>
      </c>
    </row>
    <row r="2" spans="3:24" ht="15" customHeight="1" x14ac:dyDescent="0.25">
      <c r="C2" s="540" t="s">
        <v>53</v>
      </c>
      <c r="D2" s="540"/>
      <c r="E2" s="233"/>
      <c r="F2" s="541" t="s">
        <v>323</v>
      </c>
      <c r="G2" s="541"/>
      <c r="H2" s="541"/>
      <c r="I2" s="541"/>
      <c r="J2" s="541"/>
      <c r="K2" s="541"/>
      <c r="L2" s="541"/>
      <c r="M2" s="541"/>
      <c r="N2" s="541"/>
      <c r="S2" s="266" t="s">
        <v>10</v>
      </c>
      <c r="T2" s="273" t="s">
        <v>172</v>
      </c>
    </row>
    <row r="3" spans="3:24" x14ac:dyDescent="0.25">
      <c r="C3" s="540" t="s">
        <v>54</v>
      </c>
      <c r="D3" s="540"/>
      <c r="E3" s="233"/>
      <c r="F3" s="542" t="s">
        <v>324</v>
      </c>
      <c r="G3" s="542"/>
      <c r="H3" s="543" t="s">
        <v>178</v>
      </c>
      <c r="I3" s="544"/>
      <c r="J3" s="544"/>
      <c r="K3" s="544"/>
      <c r="L3" s="544"/>
      <c r="M3" s="544"/>
      <c r="N3" s="544"/>
      <c r="S3" s="155" t="s">
        <v>140</v>
      </c>
      <c r="T3" s="261" t="s">
        <v>192</v>
      </c>
    </row>
    <row r="4" spans="3:24" x14ac:dyDescent="0.25">
      <c r="H4" s="545"/>
      <c r="I4" s="545"/>
      <c r="J4" s="545"/>
      <c r="K4" s="545"/>
      <c r="L4" s="545"/>
      <c r="M4" s="545"/>
      <c r="N4" s="545"/>
      <c r="S4" s="155" t="s">
        <v>141</v>
      </c>
      <c r="T4" s="261" t="s">
        <v>193</v>
      </c>
    </row>
    <row r="5" spans="3:24" ht="23.25" x14ac:dyDescent="0.25">
      <c r="C5" s="460" t="str">
        <f>Version</f>
        <v>Version 7.0</v>
      </c>
      <c r="H5" s="546" t="s">
        <v>183</v>
      </c>
      <c r="I5" s="547"/>
      <c r="J5" s="547"/>
      <c r="K5" s="547"/>
      <c r="L5" s="547"/>
      <c r="M5" s="547"/>
      <c r="N5" s="547"/>
      <c r="S5" s="155" t="s">
        <v>142</v>
      </c>
      <c r="T5" s="261" t="s">
        <v>194</v>
      </c>
    </row>
    <row r="6" spans="3:24" x14ac:dyDescent="0.25">
      <c r="C6" s="552" t="s">
        <v>205</v>
      </c>
      <c r="D6" s="553"/>
      <c r="E6" s="553"/>
      <c r="F6" s="553"/>
      <c r="G6" s="556"/>
      <c r="H6" s="556"/>
      <c r="I6" s="556"/>
      <c r="J6" s="556"/>
      <c r="K6" s="302"/>
      <c r="L6" s="303"/>
      <c r="M6" s="303"/>
      <c r="N6" s="304"/>
      <c r="R6" s="155" t="s">
        <v>139</v>
      </c>
      <c r="S6" s="261" t="s">
        <v>195</v>
      </c>
      <c r="X6" s="2"/>
    </row>
    <row r="7" spans="3:24" x14ac:dyDescent="0.25">
      <c r="C7" s="552"/>
      <c r="D7" s="553"/>
      <c r="E7" s="553"/>
      <c r="F7" s="553"/>
      <c r="G7" s="503" t="str">
        <f>Start!E7</f>
        <v>(Your Name)</v>
      </c>
      <c r="H7" s="376"/>
      <c r="I7" s="376"/>
      <c r="J7" s="376"/>
      <c r="K7" s="302"/>
      <c r="L7" s="303"/>
      <c r="M7" s="303"/>
      <c r="N7" s="304"/>
      <c r="R7" s="155"/>
      <c r="S7" s="155" t="s">
        <v>139</v>
      </c>
      <c r="T7" s="261" t="s">
        <v>195</v>
      </c>
      <c r="X7" s="2"/>
    </row>
    <row r="8" spans="3:24" ht="7.5" customHeight="1" x14ac:dyDescent="0.25">
      <c r="C8" s="305"/>
      <c r="D8" s="303"/>
      <c r="E8" s="303"/>
      <c r="F8" s="303"/>
      <c r="G8" s="306"/>
      <c r="H8" s="307"/>
      <c r="I8" s="307"/>
      <c r="J8" s="307"/>
      <c r="K8" s="303"/>
      <c r="L8" s="303"/>
      <c r="M8" s="303"/>
      <c r="N8" s="304"/>
      <c r="R8" s="267"/>
      <c r="X8" s="2"/>
    </row>
    <row r="9" spans="3:24" x14ac:dyDescent="0.25">
      <c r="C9" s="308"/>
      <c r="D9" s="309"/>
      <c r="E9" s="310" t="s">
        <v>180</v>
      </c>
      <c r="F9" s="311" t="s">
        <v>17</v>
      </c>
      <c r="G9" s="373" t="s">
        <v>20</v>
      </c>
      <c r="H9" s="373"/>
      <c r="I9" s="374"/>
      <c r="J9" s="375"/>
      <c r="K9" s="312" t="s">
        <v>135</v>
      </c>
      <c r="L9" s="312" t="s">
        <v>16</v>
      </c>
      <c r="M9" s="312" t="s">
        <v>61</v>
      </c>
      <c r="N9" s="554"/>
      <c r="R9" s="155"/>
      <c r="S9" s="261"/>
      <c r="X9" s="2"/>
    </row>
    <row r="10" spans="3:24" x14ac:dyDescent="0.25">
      <c r="C10" s="313"/>
      <c r="D10" s="314"/>
      <c r="E10" s="315" t="s">
        <v>179</v>
      </c>
      <c r="F10" s="316" t="s">
        <v>18</v>
      </c>
      <c r="G10" s="317">
        <v>1</v>
      </c>
      <c r="H10" s="318">
        <v>2</v>
      </c>
      <c r="I10" s="318">
        <v>3</v>
      </c>
      <c r="J10" s="319">
        <v>4</v>
      </c>
      <c r="K10" s="320" t="s">
        <v>136</v>
      </c>
      <c r="L10" s="320" t="s">
        <v>18</v>
      </c>
      <c r="M10" s="320" t="s">
        <v>10</v>
      </c>
      <c r="N10" s="555"/>
      <c r="R10" s="321"/>
      <c r="S10" s="321"/>
      <c r="T10" s="321"/>
      <c r="U10" s="321"/>
      <c r="V10" s="321"/>
      <c r="W10" s="321"/>
      <c r="X10" s="322"/>
    </row>
    <row r="11" spans="3:24" x14ac:dyDescent="0.25">
      <c r="C11" s="323" t="s">
        <v>3</v>
      </c>
      <c r="D11" s="324"/>
      <c r="E11" s="325">
        <f>QuestionsManagement</f>
        <v>30</v>
      </c>
      <c r="F11" s="325">
        <f>PointsManagement</f>
        <v>120</v>
      </c>
      <c r="G11" s="326">
        <f>Start!F25</f>
        <v>0</v>
      </c>
      <c r="H11" s="326">
        <f>Start!G25</f>
        <v>0</v>
      </c>
      <c r="I11" s="326">
        <f>Start!H25</f>
        <v>0</v>
      </c>
      <c r="J11" s="326">
        <f>Start!I25</f>
        <v>0</v>
      </c>
      <c r="K11" s="327">
        <f>IF(SUM(G11:J11)=0,QuestionsManagement,QuestionsManagement-SUM(G11:J11))</f>
        <v>30</v>
      </c>
      <c r="L11" s="328" t="str">
        <f t="shared" ref="L11:L17" si="0">IF(K11=0,(G11*1)+(H11*2)+(I11*3)+(J11*4),"")</f>
        <v/>
      </c>
      <c r="M11" s="329" t="str">
        <f t="shared" ref="M11:M17" si="1">IF(K11=0,ROUND(L11/SUM(G11:J11),1),"")</f>
        <v/>
      </c>
      <c r="N11" s="330"/>
      <c r="R11" s="331"/>
      <c r="S11" s="332"/>
      <c r="T11" s="332"/>
      <c r="U11" s="332"/>
      <c r="V11" s="332"/>
      <c r="W11" s="332"/>
      <c r="X11" s="322"/>
    </row>
    <row r="12" spans="3:24" x14ac:dyDescent="0.25">
      <c r="C12" s="323" t="s">
        <v>4</v>
      </c>
      <c r="D12" s="324"/>
      <c r="E12" s="325">
        <f>QuestionsFinance</f>
        <v>18</v>
      </c>
      <c r="F12" s="325">
        <f>PointsFinance</f>
        <v>72</v>
      </c>
      <c r="G12" s="326">
        <f>Start!F26</f>
        <v>0</v>
      </c>
      <c r="H12" s="326">
        <f>Start!G26</f>
        <v>0</v>
      </c>
      <c r="I12" s="326">
        <f>Start!H26</f>
        <v>0</v>
      </c>
      <c r="J12" s="326">
        <f>Start!I26</f>
        <v>0</v>
      </c>
      <c r="K12" s="327">
        <f>IF(SUM(G12:J12)=0,QuestionsFinance,QuestionsFinance-SUM(G12:J12))</f>
        <v>18</v>
      </c>
      <c r="L12" s="328" t="str">
        <f t="shared" si="0"/>
        <v/>
      </c>
      <c r="M12" s="329" t="str">
        <f t="shared" si="1"/>
        <v/>
      </c>
      <c r="N12" s="330"/>
      <c r="R12" s="332"/>
      <c r="S12" s="331"/>
      <c r="T12" s="332"/>
      <c r="U12" s="332"/>
      <c r="V12" s="332"/>
      <c r="W12" s="332"/>
      <c r="X12" s="322"/>
    </row>
    <row r="13" spans="3:24" x14ac:dyDescent="0.25">
      <c r="C13" s="323" t="s">
        <v>5</v>
      </c>
      <c r="D13" s="324"/>
      <c r="E13" s="325">
        <f>QuestionsSales</f>
        <v>17</v>
      </c>
      <c r="F13" s="325">
        <f>PointsSales</f>
        <v>68</v>
      </c>
      <c r="G13" s="326">
        <f>Start!F27</f>
        <v>0</v>
      </c>
      <c r="H13" s="326">
        <f>Start!G27</f>
        <v>0</v>
      </c>
      <c r="I13" s="326">
        <f>Start!H27</f>
        <v>0</v>
      </c>
      <c r="J13" s="326">
        <f>Start!I27</f>
        <v>0</v>
      </c>
      <c r="K13" s="327">
        <f>IF(SUM(G13:J13)=0,QuestionsSales,QuestionsSales-SUM(G13:J13))</f>
        <v>17</v>
      </c>
      <c r="L13" s="328" t="str">
        <f t="shared" si="0"/>
        <v/>
      </c>
      <c r="M13" s="329" t="str">
        <f t="shared" si="1"/>
        <v/>
      </c>
      <c r="N13" s="330"/>
      <c r="R13" s="332"/>
      <c r="S13" s="332"/>
      <c r="T13" s="331"/>
      <c r="U13" s="332"/>
      <c r="V13" s="332"/>
      <c r="W13" s="332"/>
      <c r="X13" s="322"/>
    </row>
    <row r="14" spans="3:24" x14ac:dyDescent="0.25">
      <c r="C14" s="323" t="s">
        <v>248</v>
      </c>
      <c r="D14" s="324"/>
      <c r="E14" s="325">
        <f>QuestionsOperations</f>
        <v>25</v>
      </c>
      <c r="F14" s="325">
        <f>PointsOperations</f>
        <v>100</v>
      </c>
      <c r="G14" s="326">
        <f>Start!F28</f>
        <v>0</v>
      </c>
      <c r="H14" s="326">
        <f>Start!G28</f>
        <v>0</v>
      </c>
      <c r="I14" s="326">
        <f>Start!H28</f>
        <v>0</v>
      </c>
      <c r="J14" s="326">
        <f>Start!I28</f>
        <v>0</v>
      </c>
      <c r="K14" s="327">
        <f>IF(SUM(G14:J14)=0,QuestionsOperations,QuestionsOperations-SUM(G14:J14))</f>
        <v>25</v>
      </c>
      <c r="L14" s="328" t="str">
        <f t="shared" si="0"/>
        <v/>
      </c>
      <c r="M14" s="329" t="str">
        <f t="shared" si="1"/>
        <v/>
      </c>
      <c r="N14" s="330"/>
      <c r="R14" s="332"/>
      <c r="S14" s="332"/>
      <c r="T14" s="332"/>
      <c r="U14" s="331"/>
      <c r="V14" s="332"/>
      <c r="W14" s="332"/>
      <c r="X14" s="322"/>
    </row>
    <row r="15" spans="3:24" x14ac:dyDescent="0.25">
      <c r="C15" s="323" t="s">
        <v>15</v>
      </c>
      <c r="D15" s="324"/>
      <c r="E15" s="325">
        <f>QuestionsWarehouse</f>
        <v>18</v>
      </c>
      <c r="F15" s="325">
        <f>PointsWarehouse</f>
        <v>72</v>
      </c>
      <c r="G15" s="326">
        <f>Start!F29</f>
        <v>0</v>
      </c>
      <c r="H15" s="326">
        <f>Start!G29</f>
        <v>0</v>
      </c>
      <c r="I15" s="326">
        <f>Start!H29</f>
        <v>0</v>
      </c>
      <c r="J15" s="326">
        <f>Start!I29</f>
        <v>0</v>
      </c>
      <c r="K15" s="327">
        <f>IF(SUM(G15:J15)=0,QuestionsWarehouse,QuestionsWarehouse-SUM(G15:J15))</f>
        <v>18</v>
      </c>
      <c r="L15" s="328" t="str">
        <f t="shared" si="0"/>
        <v/>
      </c>
      <c r="M15" s="329" t="str">
        <f t="shared" si="1"/>
        <v/>
      </c>
      <c r="N15" s="330"/>
      <c r="R15" s="332"/>
      <c r="S15" s="332"/>
      <c r="T15" s="332"/>
      <c r="U15" s="332"/>
      <c r="V15" s="331"/>
      <c r="W15" s="332"/>
      <c r="X15" s="322"/>
    </row>
    <row r="16" spans="3:24" x14ac:dyDescent="0.25">
      <c r="C16" s="323" t="s">
        <v>6</v>
      </c>
      <c r="D16" s="324"/>
      <c r="E16" s="325">
        <f>QuestionsRiskManagement</f>
        <v>16</v>
      </c>
      <c r="F16" s="325">
        <f>PointsRiskManagement</f>
        <v>64</v>
      </c>
      <c r="G16" s="326">
        <f>Start!F30</f>
        <v>0</v>
      </c>
      <c r="H16" s="326">
        <f>Start!G30</f>
        <v>0</v>
      </c>
      <c r="I16" s="326">
        <f>Start!H30</f>
        <v>0</v>
      </c>
      <c r="J16" s="326">
        <f>Start!I30</f>
        <v>0</v>
      </c>
      <c r="K16" s="327">
        <f>IF(SUM(G16:J16)=0,QuestionsRiskManagement,QuestionsRiskManagement-SUM(G16:J16))</f>
        <v>16</v>
      </c>
      <c r="L16" s="328" t="str">
        <f t="shared" si="0"/>
        <v/>
      </c>
      <c r="M16" s="329" t="str">
        <f t="shared" si="1"/>
        <v/>
      </c>
      <c r="N16" s="330"/>
      <c r="R16" s="332"/>
      <c r="S16" s="332"/>
      <c r="T16" s="332"/>
      <c r="U16" s="332"/>
      <c r="V16" s="332"/>
      <c r="W16" s="331"/>
      <c r="X16" s="322"/>
    </row>
    <row r="17" spans="3:24" x14ac:dyDescent="0.25">
      <c r="C17" s="323" t="s">
        <v>65</v>
      </c>
      <c r="D17" s="324"/>
      <c r="E17" s="325">
        <f>SUM(E11:E16)</f>
        <v>124</v>
      </c>
      <c r="F17" s="325">
        <f>PointsTotal</f>
        <v>496</v>
      </c>
      <c r="G17" s="333">
        <f>SUM(G11:G16)</f>
        <v>0</v>
      </c>
      <c r="H17" s="334">
        <f>SUM(H11:H16)</f>
        <v>0</v>
      </c>
      <c r="I17" s="334">
        <f>SUM(I11:I16)</f>
        <v>0</v>
      </c>
      <c r="J17" s="335">
        <f>SUM(J11:J16)</f>
        <v>0</v>
      </c>
      <c r="K17" s="336">
        <f>ABS(K11)+ABS(K12)+ABS(K13)+ABS(K14)+ABS(K15)+ABS(K16)</f>
        <v>124</v>
      </c>
      <c r="L17" s="328" t="str">
        <f t="shared" si="0"/>
        <v/>
      </c>
      <c r="M17" s="328" t="str">
        <f t="shared" si="1"/>
        <v/>
      </c>
      <c r="N17" s="330"/>
      <c r="R17" s="332"/>
      <c r="S17" s="332"/>
      <c r="T17" s="332"/>
      <c r="U17" s="332"/>
      <c r="V17" s="332"/>
      <c r="W17" s="332"/>
      <c r="X17" s="322"/>
    </row>
    <row r="18" spans="3:24" x14ac:dyDescent="0.25">
      <c r="N18" s="243"/>
      <c r="R18" s="332"/>
      <c r="S18" s="332"/>
      <c r="T18" s="332"/>
      <c r="U18" s="332"/>
      <c r="V18" s="332"/>
      <c r="W18" s="332"/>
      <c r="X18" s="322"/>
    </row>
    <row r="19" spans="3:24" x14ac:dyDescent="0.25">
      <c r="C19" s="550" t="s">
        <v>41</v>
      </c>
      <c r="D19" s="551"/>
      <c r="E19" s="551"/>
      <c r="F19" s="551"/>
      <c r="G19" s="377" t="s">
        <v>210</v>
      </c>
      <c r="H19" s="377"/>
      <c r="I19" s="377"/>
      <c r="J19" s="377"/>
      <c r="K19" s="279"/>
      <c r="L19" s="1"/>
      <c r="M19" s="1"/>
      <c r="N19" s="1"/>
      <c r="S19" s="155"/>
      <c r="T19" s="261"/>
    </row>
    <row r="20" spans="3:24" ht="7.5" customHeight="1" x14ac:dyDescent="0.25">
      <c r="C20" s="3"/>
      <c r="D20" s="1"/>
      <c r="E20" s="1"/>
      <c r="F20" s="1"/>
      <c r="G20" s="306"/>
      <c r="H20" s="307"/>
      <c r="I20" s="307"/>
      <c r="J20" s="307"/>
      <c r="K20" s="1"/>
      <c r="L20" s="1"/>
      <c r="M20" s="1"/>
      <c r="N20" s="1"/>
    </row>
    <row r="21" spans="3:24" x14ac:dyDescent="0.25">
      <c r="C21" s="4"/>
      <c r="D21" s="5"/>
      <c r="E21" s="237" t="s">
        <v>180</v>
      </c>
      <c r="F21" s="6" t="s">
        <v>17</v>
      </c>
      <c r="G21" s="373" t="s">
        <v>20</v>
      </c>
      <c r="H21" s="373"/>
      <c r="I21" s="374"/>
      <c r="J21" s="375"/>
      <c r="K21" s="33" t="s">
        <v>135</v>
      </c>
      <c r="L21" s="6" t="s">
        <v>16</v>
      </c>
      <c r="M21" s="6" t="s">
        <v>61</v>
      </c>
      <c r="N21" s="548" t="s">
        <v>226</v>
      </c>
    </row>
    <row r="22" spans="3:24" x14ac:dyDescent="0.25">
      <c r="C22" s="7"/>
      <c r="D22" s="8"/>
      <c r="E22" s="238" t="s">
        <v>179</v>
      </c>
      <c r="F22" s="9" t="s">
        <v>18</v>
      </c>
      <c r="G22" s="372">
        <v>1</v>
      </c>
      <c r="H22" s="318">
        <v>2</v>
      </c>
      <c r="I22" s="318">
        <v>3</v>
      </c>
      <c r="J22" s="319">
        <v>4</v>
      </c>
      <c r="K22" s="34" t="s">
        <v>136</v>
      </c>
      <c r="L22" s="9" t="s">
        <v>18</v>
      </c>
      <c r="M22" s="9" t="s">
        <v>10</v>
      </c>
      <c r="N22" s="549"/>
      <c r="S22" s="268" t="s">
        <v>197</v>
      </c>
      <c r="T22" s="268" t="s">
        <v>4</v>
      </c>
      <c r="U22" s="268" t="s">
        <v>196</v>
      </c>
      <c r="V22" s="268" t="s">
        <v>198</v>
      </c>
      <c r="W22" s="268" t="s">
        <v>199</v>
      </c>
      <c r="X22" s="268" t="s">
        <v>200</v>
      </c>
    </row>
    <row r="23" spans="3:24" x14ac:dyDescent="0.25">
      <c r="C23" s="10" t="s">
        <v>3</v>
      </c>
      <c r="D23" s="11"/>
      <c r="E23" s="239">
        <f>QuestionsManagement</f>
        <v>30</v>
      </c>
      <c r="F23" s="12">
        <f>PointsManagement</f>
        <v>120</v>
      </c>
      <c r="G23" s="156"/>
      <c r="H23" s="157"/>
      <c r="I23" s="157"/>
      <c r="J23" s="158"/>
      <c r="K23" s="241">
        <f>IF(SUM(G23:J23)=0,0,QuestionsManagement-SUM(G23:J23))</f>
        <v>0</v>
      </c>
      <c r="L23" s="12">
        <f t="shared" ref="L23:L29" si="2">IF(K23=0,(G23*1)+(H23*2)+(I23*3)+(J23*4),"")</f>
        <v>0</v>
      </c>
      <c r="M23" s="236">
        <f>IF(AND(K23=0,SUM(G23:J23)=0),0,IF(AND(K23=0,SUM(G23:J23)=QuestionsManagement),ROUND(L23/SUM(G23:J23),1),""))</f>
        <v>0</v>
      </c>
      <c r="N23" s="254">
        <f>IF(K23=0,L23/PointsManagement,"")</f>
        <v>0</v>
      </c>
      <c r="Q23" s="257">
        <f>IF(K23&lt;&gt;0,QuestionsManagement-K23,IF(AND(K23=0,SUM(G23:J23)=QuestionsManagement),0,QuestionsManagement-K23))</f>
        <v>30</v>
      </c>
      <c r="R23" s="257"/>
      <c r="S23" s="274">
        <f>ABS(IF(SUM(G23:J23)=0,0,QuestionsManagement-SUM(G23:J23)))</f>
        <v>0</v>
      </c>
      <c r="T23" s="185"/>
      <c r="U23" s="185"/>
      <c r="V23" s="185"/>
      <c r="W23" s="185"/>
      <c r="X23" s="185"/>
    </row>
    <row r="24" spans="3:24" x14ac:dyDescent="0.25">
      <c r="C24" s="10" t="s">
        <v>4</v>
      </c>
      <c r="D24" s="11"/>
      <c r="E24" s="239">
        <f>QuestionsFinance</f>
        <v>18</v>
      </c>
      <c r="F24" s="12">
        <f>PointsFinance</f>
        <v>72</v>
      </c>
      <c r="G24" s="156"/>
      <c r="H24" s="157"/>
      <c r="I24" s="157"/>
      <c r="J24" s="158"/>
      <c r="K24" s="276">
        <f>IF(SUM(G24:J24)=0,0,QuestionsFinance-SUM(G24:J24))</f>
        <v>0</v>
      </c>
      <c r="L24" s="12">
        <f t="shared" si="2"/>
        <v>0</v>
      </c>
      <c r="M24" s="236">
        <f>IF(AND(K24=0,SUM(G24:J24)=0),0,IF(AND(K24=0,SUM(G24:J24)=QuestionsFinance),ROUND(L24/SUM(G24:J24),1),""))</f>
        <v>0</v>
      </c>
      <c r="N24" s="254">
        <f>IF(K24=0,L24/PointsFinance,"")</f>
        <v>0</v>
      </c>
      <c r="Q24" s="257">
        <f>IF(K24&lt;&gt;0,QuestionsFinance-K24,IF(AND(K24=0,SUM(G24:J24)=QuestionsFinance),0,QuestionsFinance-K24))</f>
        <v>18</v>
      </c>
      <c r="R24" s="257"/>
      <c r="S24" s="185"/>
      <c r="T24" s="274">
        <f>ABS(IF(SUM(G24:J24)=0,0,QuestionsFinance-SUM(G24:J24)))</f>
        <v>0</v>
      </c>
      <c r="U24" s="185"/>
      <c r="V24" s="185"/>
      <c r="W24" s="185"/>
      <c r="X24" s="185"/>
    </row>
    <row r="25" spans="3:24" x14ac:dyDescent="0.25">
      <c r="C25" s="10" t="s">
        <v>5</v>
      </c>
      <c r="D25" s="11"/>
      <c r="E25" s="239">
        <f>QuestionsSales</f>
        <v>17</v>
      </c>
      <c r="F25" s="12">
        <f>PointsSales</f>
        <v>68</v>
      </c>
      <c r="G25" s="156"/>
      <c r="H25" s="157"/>
      <c r="I25" s="157"/>
      <c r="J25" s="158"/>
      <c r="K25" s="241">
        <f>IF(SUM(G25:J25)=0,0,QuestionsSales-SUM(G25:J25))</f>
        <v>0</v>
      </c>
      <c r="L25" s="12">
        <f t="shared" si="2"/>
        <v>0</v>
      </c>
      <c r="M25" s="236">
        <f>IF(AND(K25=0,SUM(G25:J25)=0),0,IF(AND(K25=0,SUM(G25:J25)=QuestionsSales),ROUND(L25/SUM(G25:J25),1),""))</f>
        <v>0</v>
      </c>
      <c r="N25" s="254">
        <f>IF(K25=0,L25/PointsSales,"")</f>
        <v>0</v>
      </c>
      <c r="Q25" s="257">
        <f>IF(K25&lt;&gt;0,QuestionsSales-K25,IF(AND(K25=0,SUM(G25:J25)=QuestionsSales),0,QuestionsSales-K25))</f>
        <v>17</v>
      </c>
      <c r="R25" s="257"/>
      <c r="S25" s="185"/>
      <c r="T25" s="185"/>
      <c r="U25" s="274">
        <f>ABS(IF(SUM(G25:J25)=0,0,QuestionsSales-SUM(G25:J25)))</f>
        <v>0</v>
      </c>
      <c r="V25" s="185"/>
      <c r="W25" s="185"/>
      <c r="X25" s="185"/>
    </row>
    <row r="26" spans="3:24" x14ac:dyDescent="0.25">
      <c r="C26" s="10" t="s">
        <v>248</v>
      </c>
      <c r="D26" s="11"/>
      <c r="E26" s="239">
        <f>QuestionsOperations</f>
        <v>25</v>
      </c>
      <c r="F26" s="12">
        <f>PointsOperations</f>
        <v>100</v>
      </c>
      <c r="G26" s="156"/>
      <c r="H26" s="157"/>
      <c r="I26" s="157"/>
      <c r="J26" s="158"/>
      <c r="K26" s="241">
        <f>IF(SUM(G26:J26)=0,0,QuestionsOperations-SUM(G26:J26))</f>
        <v>0</v>
      </c>
      <c r="L26" s="12">
        <f t="shared" si="2"/>
        <v>0</v>
      </c>
      <c r="M26" s="236">
        <f>IF(AND(K26=0,SUM(G26:J26)=0),0,IF(AND(K26=0,SUM(G26:J26)=QuestionsOperations),ROUND(L26/SUM(G26:J26),1),""))</f>
        <v>0</v>
      </c>
      <c r="N26" s="254">
        <f>IF(K26=0,L26/PointsOperations,"")</f>
        <v>0</v>
      </c>
      <c r="Q26" s="257">
        <f>IF(K26&lt;&gt;0,QuestionsOperations-K26,IF(AND(K26=0,SUM(G26:J26)=QuestionsOperations),0,QuestionsOperations-K26))</f>
        <v>25</v>
      </c>
      <c r="R26" s="257"/>
      <c r="S26" s="185"/>
      <c r="T26" s="185"/>
      <c r="U26" s="185"/>
      <c r="V26" s="274">
        <f>ABS(IF(SUM(G26:J26)=0,0,QuestionsOperations-SUM(G26:J26)))</f>
        <v>0</v>
      </c>
      <c r="W26" s="185"/>
      <c r="X26" s="185"/>
    </row>
    <row r="27" spans="3:24" x14ac:dyDescent="0.25">
      <c r="C27" s="10" t="s">
        <v>15</v>
      </c>
      <c r="D27" s="11"/>
      <c r="E27" s="239">
        <f>QuestionsWarehouse</f>
        <v>18</v>
      </c>
      <c r="F27" s="12">
        <f>PointsWarehouse</f>
        <v>72</v>
      </c>
      <c r="G27" s="156"/>
      <c r="H27" s="157"/>
      <c r="I27" s="157"/>
      <c r="J27" s="158"/>
      <c r="K27" s="241">
        <f>IF(SUM(G27:J27)=0,0,QuestionsWarehouse-SUM(G27:J27))</f>
        <v>0</v>
      </c>
      <c r="L27" s="12">
        <f t="shared" si="2"/>
        <v>0</v>
      </c>
      <c r="M27" s="236">
        <f>IF(AND(K27=0,SUM(G27:J27)=0),0,IF(AND(K27=0,SUM(G27:J27)=QuestionsWarehouse),ROUND(L27/SUM(G27:J27),1),""))</f>
        <v>0</v>
      </c>
      <c r="N27" s="254">
        <f>IF(K27=0,L27/PointsWarehouse,"")</f>
        <v>0</v>
      </c>
      <c r="Q27" s="257">
        <f>IF(K27&lt;&gt;0,QuestionsWarehouse-K27,IF(AND(K27=0,SUM(G27:J27)=QuestionsWarehouse),0,QuestionsWarehouse-K27))</f>
        <v>18</v>
      </c>
      <c r="R27" s="257"/>
      <c r="S27" s="185"/>
      <c r="T27" s="185"/>
      <c r="U27" s="185"/>
      <c r="V27" s="185"/>
      <c r="W27" s="274">
        <f>ABS(IF(SUM(G27:J27)=0,0,QuestionsWarehouse-SUM(G27:J27)))</f>
        <v>0</v>
      </c>
      <c r="X27" s="185"/>
    </row>
    <row r="28" spans="3:24" x14ac:dyDescent="0.25">
      <c r="C28" s="10" t="s">
        <v>6</v>
      </c>
      <c r="D28" s="11"/>
      <c r="E28" s="239">
        <f>QuestionsRiskManagement</f>
        <v>16</v>
      </c>
      <c r="F28" s="12">
        <f>PointsRiskManagement</f>
        <v>64</v>
      </c>
      <c r="G28" s="156"/>
      <c r="H28" s="157"/>
      <c r="I28" s="157"/>
      <c r="J28" s="158"/>
      <c r="K28" s="241">
        <f>IF(SUM(G28:J28)=0,0,QuestionsRiskManagement-SUM(G28:J28))</f>
        <v>0</v>
      </c>
      <c r="L28" s="12">
        <f t="shared" si="2"/>
        <v>0</v>
      </c>
      <c r="M28" s="236">
        <f>IF(AND(K28=0,SUM(G28:J28)=0),0,IF(AND(K28=0,SUM(G28:J28)=QuestionsRiskManagement),ROUND(L28/SUM(G28:J28),1),""))</f>
        <v>0</v>
      </c>
      <c r="N28" s="254">
        <f>IF(K28=0,L28/PointsRiskManagement,"")</f>
        <v>0</v>
      </c>
      <c r="Q28" s="257">
        <f>IF(K28&lt;&gt;0,QuestionsRiskManagement-K28,IF(AND(K28=0,SUM(G28:J28)=QuestionsRiskManagement),0,QuestionsRiskManagement-K28))</f>
        <v>16</v>
      </c>
      <c r="R28" s="257"/>
      <c r="S28" s="185"/>
      <c r="T28" s="185"/>
      <c r="U28" s="185"/>
      <c r="V28" s="185"/>
      <c r="W28" s="185"/>
      <c r="X28" s="274">
        <f>ABS(IF(SUM(G28:J28)=0,0,QuestionsRiskManagement-SUM(G28:J28)))</f>
        <v>0</v>
      </c>
    </row>
    <row r="29" spans="3:24" x14ac:dyDescent="0.25">
      <c r="C29" s="27" t="s">
        <v>65</v>
      </c>
      <c r="D29" s="28"/>
      <c r="E29" s="240">
        <f>SUM(E23:E28)</f>
        <v>124</v>
      </c>
      <c r="F29" s="29">
        <f>PointsTotal</f>
        <v>496</v>
      </c>
      <c r="G29" s="30">
        <f>SUM(G23:G28)</f>
        <v>0</v>
      </c>
      <c r="H29" s="31">
        <f>SUM(H23:H28)</f>
        <v>0</v>
      </c>
      <c r="I29" s="31">
        <f>SUM(I23:I28)</f>
        <v>0</v>
      </c>
      <c r="J29" s="32">
        <f>SUM(J23:J28)</f>
        <v>0</v>
      </c>
      <c r="K29" s="242">
        <f>ABS(K23)+ABS(K24)+ABS(K25)+ABS(K26)+ABS(K27)+ABS(K28)</f>
        <v>0</v>
      </c>
      <c r="L29" s="29">
        <f t="shared" si="2"/>
        <v>0</v>
      </c>
      <c r="M29" s="29">
        <f>IF(AND(K29=0,SUM(G29:J29)=0),0,IF(AND(K29=0,SUM(G29:J29)=E29),ROUND(L29/SUM(G29:J29),1),""))</f>
        <v>0</v>
      </c>
      <c r="N29" s="254">
        <f>IF(K29=0,L29/PointsTotal,"")</f>
        <v>0</v>
      </c>
      <c r="R29" s="257">
        <f>SUM(Q23:Q28)-E29</f>
        <v>0</v>
      </c>
      <c r="S29" s="185"/>
      <c r="T29" s="185"/>
      <c r="U29" s="185"/>
      <c r="V29" s="185"/>
      <c r="W29" s="185"/>
      <c r="X29" s="185"/>
    </row>
    <row r="30" spans="3:24" x14ac:dyDescent="0.25">
      <c r="N30" s="243"/>
      <c r="S30" s="269"/>
      <c r="T30" s="262"/>
      <c r="U30" s="262"/>
      <c r="V30" s="262"/>
      <c r="W30" s="262"/>
      <c r="X30" s="270"/>
    </row>
    <row r="31" spans="3:24" x14ac:dyDescent="0.25">
      <c r="C31" s="550" t="s">
        <v>42</v>
      </c>
      <c r="D31" s="551"/>
      <c r="E31" s="551"/>
      <c r="F31" s="551"/>
      <c r="G31" s="377" t="s">
        <v>211</v>
      </c>
      <c r="H31" s="377"/>
      <c r="I31" s="377"/>
      <c r="J31" s="377"/>
      <c r="K31" s="279"/>
      <c r="L31" s="1"/>
      <c r="M31" s="1"/>
      <c r="N31" s="255"/>
      <c r="S31" s="263"/>
      <c r="T31" s="260"/>
      <c r="U31" s="260"/>
      <c r="V31" s="260"/>
      <c r="W31" s="260"/>
      <c r="X31" s="271"/>
    </row>
    <row r="32" spans="3:24" ht="7.5" customHeight="1" x14ac:dyDescent="0.25">
      <c r="C32" s="3"/>
      <c r="D32" s="1"/>
      <c r="E32" s="1"/>
      <c r="F32" s="1"/>
      <c r="G32" s="306"/>
      <c r="H32" s="307"/>
      <c r="I32" s="307"/>
      <c r="J32" s="307"/>
      <c r="K32" s="1"/>
      <c r="L32" s="1"/>
      <c r="M32" s="1"/>
      <c r="N32" s="255"/>
      <c r="S32" s="263"/>
      <c r="T32" s="260"/>
      <c r="U32" s="260"/>
      <c r="V32" s="260"/>
      <c r="W32" s="260"/>
      <c r="X32" s="271"/>
    </row>
    <row r="33" spans="3:24" ht="15" customHeight="1" x14ac:dyDescent="0.25">
      <c r="C33" s="4"/>
      <c r="D33" s="5"/>
      <c r="E33" s="237" t="s">
        <v>180</v>
      </c>
      <c r="F33" s="6" t="s">
        <v>17</v>
      </c>
      <c r="G33" s="373" t="s">
        <v>20</v>
      </c>
      <c r="H33" s="373"/>
      <c r="I33" s="374"/>
      <c r="J33" s="375"/>
      <c r="K33" s="33" t="s">
        <v>135</v>
      </c>
      <c r="L33" s="6" t="s">
        <v>16</v>
      </c>
      <c r="M33" s="6" t="s">
        <v>61</v>
      </c>
      <c r="N33" s="538" t="s">
        <v>226</v>
      </c>
      <c r="S33" s="263"/>
      <c r="T33" s="260"/>
      <c r="U33" s="260"/>
      <c r="V33" s="260"/>
      <c r="W33" s="260"/>
      <c r="X33" s="271"/>
    </row>
    <row r="34" spans="3:24" x14ac:dyDescent="0.25">
      <c r="C34" s="7"/>
      <c r="D34" s="8"/>
      <c r="E34" s="238" t="s">
        <v>179</v>
      </c>
      <c r="F34" s="9" t="s">
        <v>18</v>
      </c>
      <c r="G34" s="372">
        <v>1</v>
      </c>
      <c r="H34" s="318">
        <v>2</v>
      </c>
      <c r="I34" s="318">
        <v>3</v>
      </c>
      <c r="J34" s="319">
        <v>4</v>
      </c>
      <c r="K34" s="34" t="s">
        <v>136</v>
      </c>
      <c r="L34" s="9" t="s">
        <v>18</v>
      </c>
      <c r="M34" s="9" t="s">
        <v>10</v>
      </c>
      <c r="N34" s="539"/>
      <c r="S34" s="264"/>
      <c r="T34" s="265"/>
      <c r="U34" s="265"/>
      <c r="V34" s="265"/>
      <c r="W34" s="265"/>
      <c r="X34" s="272"/>
    </row>
    <row r="35" spans="3:24" x14ac:dyDescent="0.25">
      <c r="C35" s="10" t="s">
        <v>3</v>
      </c>
      <c r="D35" s="11"/>
      <c r="E35" s="239">
        <f>QuestionsManagement</f>
        <v>30</v>
      </c>
      <c r="F35" s="12">
        <f>PointsManagement</f>
        <v>120</v>
      </c>
      <c r="G35" s="156"/>
      <c r="H35" s="157"/>
      <c r="I35" s="157"/>
      <c r="J35" s="158"/>
      <c r="K35" s="241">
        <f>IF(SUM(G35:J35)=0,0,QuestionsManagement-SUM(G35:J35))</f>
        <v>0</v>
      </c>
      <c r="L35" s="12">
        <f t="shared" ref="L35:L41" si="3">IF(K35=0,(G35*1)+(H35*2)+(I35*3)+(J35*4),"")</f>
        <v>0</v>
      </c>
      <c r="M35" s="236">
        <f>IF(AND(K35=0,SUM(G35:J35)=0),0,IF(AND(K35=0,SUM(G35:J35)=QuestionsManagement),ROUND(L35/SUM(G35:J35),1),""))</f>
        <v>0</v>
      </c>
      <c r="N35" s="254">
        <f>IF(K35=0,L35/PointsManagement,"")</f>
        <v>0</v>
      </c>
      <c r="Q35" s="257">
        <f>IF(K35&lt;&gt;0,QuestionsManagement-K35,IF(AND(K35=0,SUM(G35:J35)=QuestionsManagement),0,QuestionsManagement-K35))</f>
        <v>30</v>
      </c>
      <c r="R35" s="257"/>
      <c r="S35" s="274">
        <f>ABS(IF(SUM(G35:J35)=0,0,QuestionsManagement-SUM(G35:J35)))</f>
        <v>0</v>
      </c>
      <c r="T35" s="185"/>
      <c r="U35" s="185"/>
      <c r="V35" s="185"/>
      <c r="W35" s="185"/>
      <c r="X35" s="185"/>
    </row>
    <row r="36" spans="3:24" x14ac:dyDescent="0.25">
      <c r="C36" s="10" t="s">
        <v>4</v>
      </c>
      <c r="D36" s="11"/>
      <c r="E36" s="239">
        <f>QuestionsFinance</f>
        <v>18</v>
      </c>
      <c r="F36" s="12">
        <f>PointsFinance</f>
        <v>72</v>
      </c>
      <c r="G36" s="156"/>
      <c r="H36" s="157"/>
      <c r="I36" s="157"/>
      <c r="J36" s="158"/>
      <c r="K36" s="276">
        <f>IF(SUM(G36:J36)=0,0,QuestionsFinance-SUM(G36:J36))</f>
        <v>0</v>
      </c>
      <c r="L36" s="12">
        <f t="shared" si="3"/>
        <v>0</v>
      </c>
      <c r="M36" s="236">
        <f>IF(AND(K36=0,SUM(G36:J36)=0),0,IF(AND(K36=0,SUM(G36:J36)=QuestionsFinance),ROUND(L36/SUM(G36:J36),1),""))</f>
        <v>0</v>
      </c>
      <c r="N36" s="254">
        <f>IF(K36=0,L36/PointsFinance,"")</f>
        <v>0</v>
      </c>
      <c r="Q36" s="257">
        <f>IF(K36&lt;&gt;0,QuestionsFinance-K36,IF(AND(K36=0,SUM(G36:J36)=QuestionsFinance),0,QuestionsFinance-K36))</f>
        <v>18</v>
      </c>
      <c r="R36" s="257"/>
      <c r="S36" s="185"/>
      <c r="T36" s="274">
        <f>ABS(IF(SUM(G36:J36)=0,0,QuestionsFinance-SUM(G36:J36)))</f>
        <v>0</v>
      </c>
      <c r="U36" s="185"/>
      <c r="V36" s="185"/>
      <c r="W36" s="185"/>
      <c r="X36" s="185"/>
    </row>
    <row r="37" spans="3:24" x14ac:dyDescent="0.25">
      <c r="C37" s="10" t="s">
        <v>5</v>
      </c>
      <c r="D37" s="11"/>
      <c r="E37" s="239">
        <f>QuestionsSales</f>
        <v>17</v>
      </c>
      <c r="F37" s="12">
        <f>PointsSales</f>
        <v>68</v>
      </c>
      <c r="G37" s="156"/>
      <c r="H37" s="157"/>
      <c r="I37" s="157"/>
      <c r="J37" s="158"/>
      <c r="K37" s="241">
        <f>IF(SUM(G37:J37)=0,0,QuestionsSales-SUM(G37:J37))</f>
        <v>0</v>
      </c>
      <c r="L37" s="12">
        <f t="shared" si="3"/>
        <v>0</v>
      </c>
      <c r="M37" s="236">
        <f>IF(AND(K37=0,SUM(G37:J37)=0),0,IF(AND(K37=0,SUM(G37:J37)=QuestionsSales),ROUND(L37/SUM(G37:J37),1),""))</f>
        <v>0</v>
      </c>
      <c r="N37" s="254">
        <f>IF(K37=0,L37/PointsSales,"")</f>
        <v>0</v>
      </c>
      <c r="Q37" s="257">
        <f>IF(K37&lt;&gt;0,QuestionsSales-K37,IF(AND(K37=0,SUM(G37:J37)=QuestionsSales),0,QuestionsSales-K37))</f>
        <v>17</v>
      </c>
      <c r="R37" s="257"/>
      <c r="S37" s="185"/>
      <c r="T37" s="185"/>
      <c r="U37" s="274">
        <f>ABS(IF(SUM(G37:J37)=0,0,QuestionsSales-SUM(G37:J37)))</f>
        <v>0</v>
      </c>
      <c r="V37" s="185"/>
      <c r="W37" s="185"/>
      <c r="X37" s="185"/>
    </row>
    <row r="38" spans="3:24" x14ac:dyDescent="0.25">
      <c r="C38" s="10" t="s">
        <v>248</v>
      </c>
      <c r="D38" s="11"/>
      <c r="E38" s="239">
        <f>QuestionsOperations</f>
        <v>25</v>
      </c>
      <c r="F38" s="12">
        <f>PointsOperations</f>
        <v>100</v>
      </c>
      <c r="G38" s="156"/>
      <c r="H38" s="157"/>
      <c r="I38" s="157"/>
      <c r="J38" s="158"/>
      <c r="K38" s="241">
        <f>IF(SUM(G38:J38)=0,0,QuestionsOperations-SUM(G38:J38))</f>
        <v>0</v>
      </c>
      <c r="L38" s="12">
        <f t="shared" si="3"/>
        <v>0</v>
      </c>
      <c r="M38" s="236">
        <f>IF(AND(K38=0,SUM(G38:J38)=0),0,IF(AND(K38=0,SUM(G38:J38)=QuestionsOperations),ROUND(L38/SUM(G38:J38),1),""))</f>
        <v>0</v>
      </c>
      <c r="N38" s="254">
        <f>IF(K38=0,L38/PointsOperations,"")</f>
        <v>0</v>
      </c>
      <c r="Q38" s="257">
        <f>IF(K38&lt;&gt;0,QuestionsOperations-K38,IF(AND(K38=0,SUM(G38:J38)=QuestionsOperations),0,QuestionsOperations-K38))</f>
        <v>25</v>
      </c>
      <c r="R38" s="257"/>
      <c r="S38" s="185"/>
      <c r="T38" s="185"/>
      <c r="U38" s="185"/>
      <c r="V38" s="274">
        <f>ABS(IF(SUM(G38:J38)=0,0,QuestionsOperations-SUM(G38:J38)))</f>
        <v>0</v>
      </c>
      <c r="W38" s="185"/>
      <c r="X38" s="185"/>
    </row>
    <row r="39" spans="3:24" x14ac:dyDescent="0.25">
      <c r="C39" s="10" t="s">
        <v>15</v>
      </c>
      <c r="D39" s="11"/>
      <c r="E39" s="239">
        <f>QuestionsWarehouse</f>
        <v>18</v>
      </c>
      <c r="F39" s="12">
        <f>PointsWarehouse</f>
        <v>72</v>
      </c>
      <c r="G39" s="156"/>
      <c r="H39" s="157"/>
      <c r="I39" s="157"/>
      <c r="J39" s="158"/>
      <c r="K39" s="241">
        <f>IF(SUM(G39:J39)=0,0,QuestionsWarehouse-SUM(G39:J39))</f>
        <v>0</v>
      </c>
      <c r="L39" s="12">
        <f t="shared" si="3"/>
        <v>0</v>
      </c>
      <c r="M39" s="236">
        <f>IF(AND(K39=0,SUM(G39:J39)=0),0,IF(AND(K39=0,SUM(G39:J39)=QuestionsWarehouse),ROUND(L39/SUM(G39:J39),1),""))</f>
        <v>0</v>
      </c>
      <c r="N39" s="254">
        <f>IF(K39=0,L39/PointsWarehouse,"")</f>
        <v>0</v>
      </c>
      <c r="Q39" s="257">
        <f>IF(K39&lt;&gt;0,QuestionsWarehouse-K39,IF(AND(K39=0,SUM(G39:J39)=QuestionsWarehouse),0,QuestionsWarehouse-K39))</f>
        <v>18</v>
      </c>
      <c r="R39" s="257"/>
      <c r="S39" s="185"/>
      <c r="T39" s="185"/>
      <c r="U39" s="185"/>
      <c r="V39" s="185"/>
      <c r="W39" s="274">
        <f>ABS(IF(SUM(G39:J39)=0,0,QuestionsWarehouse-SUM(G39:J39)))</f>
        <v>0</v>
      </c>
      <c r="X39" s="185"/>
    </row>
    <row r="40" spans="3:24" x14ac:dyDescent="0.25">
      <c r="C40" s="10" t="s">
        <v>6</v>
      </c>
      <c r="D40" s="11"/>
      <c r="E40" s="239">
        <f>QuestionsRiskManagement</f>
        <v>16</v>
      </c>
      <c r="F40" s="12">
        <f>PointsRiskManagement</f>
        <v>64</v>
      </c>
      <c r="G40" s="156"/>
      <c r="H40" s="157"/>
      <c r="I40" s="157"/>
      <c r="J40" s="158"/>
      <c r="K40" s="241">
        <f>IF(SUM(G40:J40)=0,0,QuestionsRiskManagement-SUM(G40:J40))</f>
        <v>0</v>
      </c>
      <c r="L40" s="12">
        <f t="shared" si="3"/>
        <v>0</v>
      </c>
      <c r="M40" s="236">
        <f>IF(AND(K40=0,SUM(G40:J40)=0),0,IF(AND(K40=0,SUM(G40:J40)=QuestionsRiskManagement),ROUND(L40/SUM(G40:J40),1),""))</f>
        <v>0</v>
      </c>
      <c r="N40" s="254">
        <f>IF(K40=0,L40/PointsRiskManagement,"")</f>
        <v>0</v>
      </c>
      <c r="Q40" s="257">
        <f>IF(K40&lt;&gt;0,QuestionsRiskManagement-K40,IF(AND(K40=0,SUM(G40:J40)=QuestionsRiskManagement),0,QuestionsRiskManagement-K40))</f>
        <v>16</v>
      </c>
      <c r="R40" s="257"/>
      <c r="S40" s="185"/>
      <c r="T40" s="185"/>
      <c r="U40" s="185"/>
      <c r="V40" s="185"/>
      <c r="W40" s="185"/>
      <c r="X40" s="274">
        <f>ABS(IF(SUM(G40:J40)=0,0,QuestionsRiskManagement-SUM(G40:J40)))</f>
        <v>0</v>
      </c>
    </row>
    <row r="41" spans="3:24" x14ac:dyDescent="0.25">
      <c r="C41" s="27" t="s">
        <v>65</v>
      </c>
      <c r="D41" s="28"/>
      <c r="E41" s="240">
        <f>SUM(E35:E40)</f>
        <v>124</v>
      </c>
      <c r="F41" s="29">
        <f>PointsTotal</f>
        <v>496</v>
      </c>
      <c r="G41" s="30">
        <f>SUM(G35:G40)</f>
        <v>0</v>
      </c>
      <c r="H41" s="31">
        <f>SUM(H35:H40)</f>
        <v>0</v>
      </c>
      <c r="I41" s="31">
        <f>SUM(I35:I40)</f>
        <v>0</v>
      </c>
      <c r="J41" s="32">
        <f>SUM(J35:J40)</f>
        <v>0</v>
      </c>
      <c r="K41" s="242">
        <f>ABS(K35)+ABS(K36)+ABS(K37)+ABS(K38)+ABS(K39)+ABS(K40)</f>
        <v>0</v>
      </c>
      <c r="L41" s="29">
        <f t="shared" si="3"/>
        <v>0</v>
      </c>
      <c r="M41" s="29">
        <f>IF(AND(K41=0,SUM(G41:J41)=0),0,IF(AND(K41=0,SUM(G41:J41)=E41),ROUND(L41/SUM(G41:J41),1),""))</f>
        <v>0</v>
      </c>
      <c r="N41" s="254">
        <f>IF(K41=0,L41/PointsTotal,"")</f>
        <v>0</v>
      </c>
      <c r="R41" s="257">
        <f>SUM(Q35:Q40)-E41</f>
        <v>0</v>
      </c>
      <c r="S41" s="185"/>
      <c r="T41" s="185"/>
      <c r="U41" s="185"/>
      <c r="V41" s="185"/>
      <c r="W41" s="185"/>
      <c r="X41" s="185"/>
    </row>
    <row r="42" spans="3:24" x14ac:dyDescent="0.25">
      <c r="N42" s="243"/>
      <c r="S42" s="269"/>
      <c r="T42" s="262"/>
      <c r="U42" s="262"/>
      <c r="V42" s="262"/>
      <c r="W42" s="262"/>
      <c r="X42" s="270"/>
    </row>
    <row r="43" spans="3:24" x14ac:dyDescent="0.25">
      <c r="C43" s="550" t="s">
        <v>44</v>
      </c>
      <c r="D43" s="551"/>
      <c r="E43" s="551"/>
      <c r="F43" s="551"/>
      <c r="G43" s="377" t="s">
        <v>212</v>
      </c>
      <c r="H43" s="377"/>
      <c r="I43" s="377"/>
      <c r="J43" s="377"/>
      <c r="K43" s="279"/>
      <c r="L43" s="1"/>
      <c r="M43" s="1"/>
      <c r="N43" s="255"/>
      <c r="S43" s="263"/>
      <c r="T43" s="260"/>
      <c r="U43" s="260"/>
      <c r="V43" s="260"/>
      <c r="W43" s="260"/>
      <c r="X43" s="271"/>
    </row>
    <row r="44" spans="3:24" ht="7.5" customHeight="1" x14ac:dyDescent="0.25">
      <c r="C44" s="3"/>
      <c r="D44" s="1"/>
      <c r="E44" s="1"/>
      <c r="F44" s="1"/>
      <c r="G44" s="306"/>
      <c r="H44" s="307"/>
      <c r="I44" s="307"/>
      <c r="J44" s="307"/>
      <c r="K44" s="1"/>
      <c r="L44" s="1"/>
      <c r="M44" s="1"/>
      <c r="N44" s="255"/>
      <c r="S44" s="263"/>
      <c r="T44" s="260"/>
      <c r="U44" s="260"/>
      <c r="V44" s="260"/>
      <c r="W44" s="260"/>
      <c r="X44" s="271"/>
    </row>
    <row r="45" spans="3:24" ht="15" customHeight="1" x14ac:dyDescent="0.25">
      <c r="C45" s="4"/>
      <c r="D45" s="5"/>
      <c r="E45" s="237" t="s">
        <v>180</v>
      </c>
      <c r="F45" s="6" t="s">
        <v>17</v>
      </c>
      <c r="G45" s="373" t="s">
        <v>20</v>
      </c>
      <c r="H45" s="373"/>
      <c r="I45" s="374"/>
      <c r="J45" s="375"/>
      <c r="K45" s="33" t="s">
        <v>135</v>
      </c>
      <c r="L45" s="6" t="s">
        <v>16</v>
      </c>
      <c r="M45" s="6" t="s">
        <v>61</v>
      </c>
      <c r="N45" s="538" t="s">
        <v>226</v>
      </c>
      <c r="S45" s="263"/>
      <c r="T45" s="260"/>
      <c r="U45" s="260"/>
      <c r="V45" s="260"/>
      <c r="W45" s="260"/>
      <c r="X45" s="271"/>
    </row>
    <row r="46" spans="3:24" x14ac:dyDescent="0.25">
      <c r="C46" s="7"/>
      <c r="D46" s="8"/>
      <c r="E46" s="238" t="s">
        <v>179</v>
      </c>
      <c r="F46" s="9" t="s">
        <v>18</v>
      </c>
      <c r="G46" s="372">
        <v>1</v>
      </c>
      <c r="H46" s="318">
        <v>2</v>
      </c>
      <c r="I46" s="318">
        <v>3</v>
      </c>
      <c r="J46" s="319">
        <v>4</v>
      </c>
      <c r="K46" s="34" t="s">
        <v>136</v>
      </c>
      <c r="L46" s="9" t="s">
        <v>18</v>
      </c>
      <c r="M46" s="9" t="s">
        <v>10</v>
      </c>
      <c r="N46" s="539"/>
      <c r="S46" s="264"/>
      <c r="T46" s="265"/>
      <c r="U46" s="265"/>
      <c r="V46" s="265"/>
      <c r="W46" s="265"/>
      <c r="X46" s="272"/>
    </row>
    <row r="47" spans="3:24" x14ac:dyDescent="0.25">
      <c r="C47" s="10" t="s">
        <v>3</v>
      </c>
      <c r="D47" s="11"/>
      <c r="E47" s="239">
        <f>QuestionsManagement</f>
        <v>30</v>
      </c>
      <c r="F47" s="12">
        <f>PointsManagement</f>
        <v>120</v>
      </c>
      <c r="G47" s="156"/>
      <c r="H47" s="157"/>
      <c r="I47" s="157"/>
      <c r="J47" s="158"/>
      <c r="K47" s="241">
        <f>IF(SUM(G47:J47)=0,0,QuestionsManagement-SUM(G47:J47))</f>
        <v>0</v>
      </c>
      <c r="L47" s="12">
        <f t="shared" ref="L47:L53" si="4">IF(K47=0,(G47*1)+(H47*2)+(I47*3)+(J47*4),"")</f>
        <v>0</v>
      </c>
      <c r="M47" s="236">
        <f>IF(AND(K47=0,SUM(G47:J47)=0),0,IF(AND(K47=0,SUM(G47:J47)=QuestionsManagement),ROUND(L47/SUM(G47:J47),1),""))</f>
        <v>0</v>
      </c>
      <c r="N47" s="254">
        <f>IF(K47=0,L47/PointsManagement,"")</f>
        <v>0</v>
      </c>
      <c r="Q47" s="257">
        <f>IF(K47&lt;&gt;0,QuestionsManagement-K47,IF(AND(K47=0,SUM(G47:J47)=QuestionsManagement),0,QuestionsManagement-K47))</f>
        <v>30</v>
      </c>
      <c r="R47" s="257"/>
      <c r="S47" s="274">
        <f>ABS(IF(SUM(G47:J47)=0,0,QuestionsManagement-SUM(G47:J47)))</f>
        <v>0</v>
      </c>
      <c r="T47" s="185"/>
      <c r="U47" s="185"/>
      <c r="V47" s="185"/>
      <c r="W47" s="185"/>
      <c r="X47" s="185"/>
    </row>
    <row r="48" spans="3:24" x14ac:dyDescent="0.25">
      <c r="C48" s="10" t="s">
        <v>4</v>
      </c>
      <c r="D48" s="11"/>
      <c r="E48" s="239">
        <f>QuestionsFinance</f>
        <v>18</v>
      </c>
      <c r="F48" s="12">
        <f>PointsFinance</f>
        <v>72</v>
      </c>
      <c r="G48" s="156"/>
      <c r="H48" s="157"/>
      <c r="I48" s="157"/>
      <c r="J48" s="158"/>
      <c r="K48" s="276">
        <f>IF(SUM(G48:J48)=0,0,QuestionsFinance-SUM(G48:J48))</f>
        <v>0</v>
      </c>
      <c r="L48" s="12">
        <f t="shared" si="4"/>
        <v>0</v>
      </c>
      <c r="M48" s="236">
        <f>IF(AND(K48=0,SUM(G48:J48)=0),0,IF(AND(K48=0,SUM(G48:J48)=QuestionsFinance),ROUND(L48/SUM(G48:J48),1),""))</f>
        <v>0</v>
      </c>
      <c r="N48" s="254">
        <f>IF(K48=0,L48/PointsFinance,"")</f>
        <v>0</v>
      </c>
      <c r="Q48" s="257">
        <f>IF(K48&lt;&gt;0,QuestionsFinance-K48,IF(AND(K48=0,SUM(G48:J48)=QuestionsFinance),0,QuestionsFinance-K48))</f>
        <v>18</v>
      </c>
      <c r="R48" s="257"/>
      <c r="S48" s="185"/>
      <c r="T48" s="274">
        <f>ABS(IF(SUM(G48:J48)=0,0,QuestionsFinance-SUM(G48:J48)))</f>
        <v>0</v>
      </c>
      <c r="U48" s="185"/>
      <c r="V48" s="185"/>
      <c r="W48" s="185"/>
      <c r="X48" s="185"/>
    </row>
    <row r="49" spans="3:24" x14ac:dyDescent="0.25">
      <c r="C49" s="10" t="s">
        <v>5</v>
      </c>
      <c r="D49" s="11"/>
      <c r="E49" s="239">
        <f>QuestionsSales</f>
        <v>17</v>
      </c>
      <c r="F49" s="12">
        <f>PointsSales</f>
        <v>68</v>
      </c>
      <c r="G49" s="156"/>
      <c r="H49" s="157"/>
      <c r="I49" s="157"/>
      <c r="J49" s="158"/>
      <c r="K49" s="241">
        <f>IF(SUM(G49:J49)=0,0,QuestionsSales-SUM(G49:J49))</f>
        <v>0</v>
      </c>
      <c r="L49" s="12">
        <f t="shared" si="4"/>
        <v>0</v>
      </c>
      <c r="M49" s="236">
        <f>IF(AND(K49=0,SUM(G49:J49)=0),0,IF(AND(K49=0,SUM(G49:J49)=QuestionsSales),ROUND(L49/SUM(G49:J49),1),""))</f>
        <v>0</v>
      </c>
      <c r="N49" s="254">
        <f>IF(K49=0,L49/PointsSales,"")</f>
        <v>0</v>
      </c>
      <c r="Q49" s="257">
        <f>IF(K49&lt;&gt;0,QuestionsSales-K49,IF(AND(K49=0,SUM(G49:J49)=QuestionsSales),0,QuestionsSales-K49))</f>
        <v>17</v>
      </c>
      <c r="R49" s="257"/>
      <c r="S49" s="185"/>
      <c r="T49" s="185"/>
      <c r="U49" s="274">
        <f>ABS(IF(SUM(G49:J49)=0,0,QuestionsSales-SUM(G49:J49)))</f>
        <v>0</v>
      </c>
      <c r="V49" s="185"/>
      <c r="W49" s="185"/>
      <c r="X49" s="185"/>
    </row>
    <row r="50" spans="3:24" x14ac:dyDescent="0.25">
      <c r="C50" s="10" t="s">
        <v>248</v>
      </c>
      <c r="D50" s="11"/>
      <c r="E50" s="239">
        <f>QuestionsOperations</f>
        <v>25</v>
      </c>
      <c r="F50" s="12">
        <f>PointsOperations</f>
        <v>100</v>
      </c>
      <c r="G50" s="156"/>
      <c r="H50" s="157"/>
      <c r="I50" s="157"/>
      <c r="J50" s="158"/>
      <c r="K50" s="241">
        <f>IF(SUM(G50:J50)=0,0,QuestionsOperations-SUM(G50:J50))</f>
        <v>0</v>
      </c>
      <c r="L50" s="12">
        <f t="shared" si="4"/>
        <v>0</v>
      </c>
      <c r="M50" s="236">
        <f>IF(AND(K50=0,SUM(G50:J50)=0),0,IF(AND(K50=0,SUM(G50:J50)=QuestionsOperations),ROUND(L50/SUM(G50:J50),1),""))</f>
        <v>0</v>
      </c>
      <c r="N50" s="254">
        <f>IF(K50=0,L50/PointsOperations,"")</f>
        <v>0</v>
      </c>
      <c r="Q50" s="257">
        <f>IF(K50&lt;&gt;0,QuestionsOperations-K50,IF(AND(K50=0,SUM(G50:J50)=QuestionsOperations),0,QuestionsOperations-K50))</f>
        <v>25</v>
      </c>
      <c r="R50" s="257"/>
      <c r="S50" s="185"/>
      <c r="T50" s="185"/>
      <c r="U50" s="185"/>
      <c r="V50" s="274">
        <f>ABS(IF(SUM(G50:J50)=0,0,QuestionsOperations-SUM(G50:J50)))</f>
        <v>0</v>
      </c>
      <c r="W50" s="185"/>
      <c r="X50" s="185"/>
    </row>
    <row r="51" spans="3:24" x14ac:dyDescent="0.25">
      <c r="C51" s="10" t="s">
        <v>15</v>
      </c>
      <c r="D51" s="11"/>
      <c r="E51" s="239">
        <f>QuestionsWarehouse</f>
        <v>18</v>
      </c>
      <c r="F51" s="12">
        <f>PointsWarehouse</f>
        <v>72</v>
      </c>
      <c r="G51" s="156"/>
      <c r="H51" s="157"/>
      <c r="I51" s="157"/>
      <c r="J51" s="158"/>
      <c r="K51" s="241">
        <f>IF(SUM(G51:J51)=0,0,QuestionsWarehouse-SUM(G51:J51))</f>
        <v>0</v>
      </c>
      <c r="L51" s="12">
        <f t="shared" si="4"/>
        <v>0</v>
      </c>
      <c r="M51" s="236">
        <f>IF(AND(K51=0,SUM(G51:J51)=0),0,IF(AND(K51=0,SUM(G51:J51)=QuestionsWarehouse),ROUND(L51/SUM(G51:J51),1),""))</f>
        <v>0</v>
      </c>
      <c r="N51" s="254">
        <f>IF(K51=0,L51/PointsWarehouse,"")</f>
        <v>0</v>
      </c>
      <c r="Q51" s="257">
        <f>IF(K51&lt;&gt;0,QuestionsWarehouse-K51,IF(AND(K51=0,SUM(G51:J51)=QuestionsWarehouse),0,QuestionsWarehouse-K51))</f>
        <v>18</v>
      </c>
      <c r="R51" s="257"/>
      <c r="S51" s="185"/>
      <c r="T51" s="185"/>
      <c r="U51" s="185"/>
      <c r="V51" s="185"/>
      <c r="W51" s="274">
        <f>ABS(IF(SUM(G51:J51)=0,0,QuestionsWarehouse-SUM(G51:J51)))</f>
        <v>0</v>
      </c>
      <c r="X51" s="185"/>
    </row>
    <row r="52" spans="3:24" x14ac:dyDescent="0.25">
      <c r="C52" s="10" t="s">
        <v>6</v>
      </c>
      <c r="D52" s="11"/>
      <c r="E52" s="239">
        <f>QuestionsRiskManagement</f>
        <v>16</v>
      </c>
      <c r="F52" s="12">
        <f>PointsRiskManagement</f>
        <v>64</v>
      </c>
      <c r="G52" s="156"/>
      <c r="H52" s="157"/>
      <c r="I52" s="157"/>
      <c r="J52" s="158"/>
      <c r="K52" s="241">
        <f>IF(SUM(G52:J52)=0,0,QuestionsRiskManagement-SUM(G52:J52))</f>
        <v>0</v>
      </c>
      <c r="L52" s="12">
        <f t="shared" si="4"/>
        <v>0</v>
      </c>
      <c r="M52" s="236">
        <f>IF(AND(K52=0,SUM(G52:J52)=0),0,IF(AND(K52=0,SUM(G52:J52)=QuestionsRiskManagement),ROUND(L52/SUM(G52:J52),1),""))</f>
        <v>0</v>
      </c>
      <c r="N52" s="254">
        <f>IF(K52=0,L52/PointsRiskManagement,"")</f>
        <v>0</v>
      </c>
      <c r="Q52" s="257">
        <f>IF(K52&lt;&gt;0,QuestionsRiskManagement-K52,IF(AND(K52=0,SUM(G52:J52)=QuestionsRiskManagement),0,QuestionsRiskManagement-K52))</f>
        <v>16</v>
      </c>
      <c r="R52" s="257"/>
      <c r="S52" s="185"/>
      <c r="T52" s="185"/>
      <c r="U52" s="185"/>
      <c r="V52" s="185"/>
      <c r="W52" s="185"/>
      <c r="X52" s="274">
        <f>ABS(IF(SUM(G52:J52)=0,0,QuestionsRiskManagement-SUM(G52:J52)))</f>
        <v>0</v>
      </c>
    </row>
    <row r="53" spans="3:24" x14ac:dyDescent="0.25">
      <c r="C53" s="27" t="s">
        <v>65</v>
      </c>
      <c r="D53" s="28"/>
      <c r="E53" s="240">
        <f>SUM(E47:E52)</f>
        <v>124</v>
      </c>
      <c r="F53" s="29">
        <f>PointsTotal</f>
        <v>496</v>
      </c>
      <c r="G53" s="30">
        <f>SUM(G47:G52)</f>
        <v>0</v>
      </c>
      <c r="H53" s="31">
        <f>SUM(H47:H52)</f>
        <v>0</v>
      </c>
      <c r="I53" s="31">
        <f>SUM(I47:I52)</f>
        <v>0</v>
      </c>
      <c r="J53" s="32">
        <f>SUM(J47:J52)</f>
        <v>0</v>
      </c>
      <c r="K53" s="242">
        <f>ABS(K47)+ABS(K48)+ABS(K49)+ABS(K50)+ABS(K51)+ABS(K52)</f>
        <v>0</v>
      </c>
      <c r="L53" s="29">
        <f t="shared" si="4"/>
        <v>0</v>
      </c>
      <c r="M53" s="29">
        <f>IF(AND(K53=0,SUM(G53:J53)=0),0,IF(AND(K53=0,SUM(G53:J53)=E53),ROUND(L53/SUM(G53:J53),1),""))</f>
        <v>0</v>
      </c>
      <c r="N53" s="254">
        <f>IF(K53=0,L53/PointsTotal,"")</f>
        <v>0</v>
      </c>
      <c r="R53" s="257">
        <f>SUM(Q47:Q52)-E53</f>
        <v>0</v>
      </c>
      <c r="S53" s="185"/>
      <c r="T53" s="185"/>
      <c r="U53" s="185"/>
      <c r="V53" s="185"/>
      <c r="W53" s="185"/>
      <c r="X53" s="185"/>
    </row>
    <row r="54" spans="3:24" x14ac:dyDescent="0.25">
      <c r="N54" s="243"/>
      <c r="S54" s="269"/>
      <c r="T54" s="262"/>
      <c r="U54" s="262"/>
      <c r="V54" s="262"/>
      <c r="W54" s="262"/>
      <c r="X54" s="270"/>
    </row>
    <row r="55" spans="3:24" x14ac:dyDescent="0.25">
      <c r="C55" s="550" t="s">
        <v>43</v>
      </c>
      <c r="D55" s="551"/>
      <c r="E55" s="551"/>
      <c r="F55" s="551"/>
      <c r="G55" s="377" t="s">
        <v>213</v>
      </c>
      <c r="H55" s="377"/>
      <c r="I55" s="377"/>
      <c r="J55" s="377"/>
      <c r="K55" s="279"/>
      <c r="L55" s="1"/>
      <c r="M55" s="1"/>
      <c r="N55" s="255"/>
      <c r="S55" s="263"/>
      <c r="T55" s="260"/>
      <c r="U55" s="260"/>
      <c r="V55" s="260"/>
      <c r="W55" s="260"/>
      <c r="X55" s="271"/>
    </row>
    <row r="56" spans="3:24" ht="7.5" customHeight="1" x14ac:dyDescent="0.25">
      <c r="C56" s="3"/>
      <c r="D56" s="1"/>
      <c r="E56" s="1"/>
      <c r="F56" s="1"/>
      <c r="G56" s="306"/>
      <c r="H56" s="307"/>
      <c r="I56" s="307"/>
      <c r="J56" s="307"/>
      <c r="K56" s="1"/>
      <c r="L56" s="1"/>
      <c r="M56" s="1"/>
      <c r="N56" s="255"/>
      <c r="S56" s="263"/>
      <c r="T56" s="260"/>
      <c r="U56" s="260"/>
      <c r="V56" s="260"/>
      <c r="W56" s="260"/>
      <c r="X56" s="271"/>
    </row>
    <row r="57" spans="3:24" ht="15" customHeight="1" x14ac:dyDescent="0.25">
      <c r="C57" s="4"/>
      <c r="D57" s="5"/>
      <c r="E57" s="237" t="s">
        <v>180</v>
      </c>
      <c r="F57" s="6" t="s">
        <v>17</v>
      </c>
      <c r="G57" s="373" t="s">
        <v>20</v>
      </c>
      <c r="H57" s="373"/>
      <c r="I57" s="374"/>
      <c r="J57" s="375"/>
      <c r="K57" s="33" t="s">
        <v>135</v>
      </c>
      <c r="L57" s="6" t="s">
        <v>16</v>
      </c>
      <c r="M57" s="6" t="s">
        <v>61</v>
      </c>
      <c r="N57" s="538" t="s">
        <v>226</v>
      </c>
      <c r="S57" s="263"/>
      <c r="T57" s="260"/>
      <c r="U57" s="260"/>
      <c r="V57" s="260"/>
      <c r="W57" s="260"/>
      <c r="X57" s="271"/>
    </row>
    <row r="58" spans="3:24" x14ac:dyDescent="0.25">
      <c r="C58" s="7"/>
      <c r="D58" s="8"/>
      <c r="E58" s="238" t="s">
        <v>179</v>
      </c>
      <c r="F58" s="9" t="s">
        <v>18</v>
      </c>
      <c r="G58" s="372">
        <v>1</v>
      </c>
      <c r="H58" s="318">
        <v>2</v>
      </c>
      <c r="I58" s="318">
        <v>3</v>
      </c>
      <c r="J58" s="319">
        <v>4</v>
      </c>
      <c r="K58" s="34" t="s">
        <v>136</v>
      </c>
      <c r="L58" s="9" t="s">
        <v>18</v>
      </c>
      <c r="M58" s="9" t="s">
        <v>10</v>
      </c>
      <c r="N58" s="539"/>
      <c r="S58" s="264"/>
      <c r="T58" s="265"/>
      <c r="U58" s="265"/>
      <c r="V58" s="265"/>
      <c r="W58" s="265"/>
      <c r="X58" s="272"/>
    </row>
    <row r="59" spans="3:24" x14ac:dyDescent="0.25">
      <c r="C59" s="10" t="s">
        <v>3</v>
      </c>
      <c r="D59" s="11"/>
      <c r="E59" s="239">
        <f>QuestionsManagement</f>
        <v>30</v>
      </c>
      <c r="F59" s="12">
        <f>PointsManagement</f>
        <v>120</v>
      </c>
      <c r="G59" s="156"/>
      <c r="H59" s="157"/>
      <c r="I59" s="157"/>
      <c r="J59" s="158"/>
      <c r="K59" s="241">
        <f>IF(SUM(G59:J59)=0,0,QuestionsManagement-SUM(G59:J59))</f>
        <v>0</v>
      </c>
      <c r="L59" s="12">
        <f t="shared" ref="L59:L65" si="5">IF(K59=0,(G59*1)+(H59*2)+(I59*3)+(J59*4),"")</f>
        <v>0</v>
      </c>
      <c r="M59" s="236">
        <f>IF(AND(K59=0,SUM(G59:J59)=0),0,IF(AND(K59=0,SUM(G59:J59)=QuestionsManagement),ROUND(L59/SUM(G59:J59),1),""))</f>
        <v>0</v>
      </c>
      <c r="N59" s="254">
        <f>IF(K59=0,L59/PointsManagement,"")</f>
        <v>0</v>
      </c>
      <c r="Q59" s="257">
        <f>IF(K59&lt;&gt;0,QuestionsManagement-K59,IF(AND(K59=0,SUM(G59:J59)=QuestionsManagement),0,QuestionsManagement-K59))</f>
        <v>30</v>
      </c>
      <c r="R59" s="257"/>
      <c r="S59" s="274">
        <f>ABS(IF(SUM(G59:J59)=0,0,QuestionsManagement-SUM(G59:J59)))</f>
        <v>0</v>
      </c>
      <c r="T59" s="185"/>
      <c r="U59" s="185"/>
      <c r="V59" s="185"/>
      <c r="W59" s="185"/>
      <c r="X59" s="185"/>
    </row>
    <row r="60" spans="3:24" x14ac:dyDescent="0.25">
      <c r="C60" s="10" t="s">
        <v>4</v>
      </c>
      <c r="D60" s="11"/>
      <c r="E60" s="239">
        <f>QuestionsFinance</f>
        <v>18</v>
      </c>
      <c r="F60" s="12">
        <f>PointsFinance</f>
        <v>72</v>
      </c>
      <c r="G60" s="156"/>
      <c r="H60" s="157"/>
      <c r="I60" s="157"/>
      <c r="J60" s="158"/>
      <c r="K60" s="276">
        <f>IF(SUM(G60:J60)=0,0,QuestionsFinance-SUM(G60:J60))</f>
        <v>0</v>
      </c>
      <c r="L60" s="12">
        <f t="shared" si="5"/>
        <v>0</v>
      </c>
      <c r="M60" s="236">
        <f>IF(AND(K60=0,SUM(G60:J60)=0),0,IF(AND(K60=0,SUM(G60:J60)=QuestionsFinance),ROUND(L60/SUM(G60:J60),1),""))</f>
        <v>0</v>
      </c>
      <c r="N60" s="254">
        <f>IF(K60=0,L60/PointsFinance,"")</f>
        <v>0</v>
      </c>
      <c r="Q60" s="257">
        <f>IF(K60&lt;&gt;0,QuestionsFinance-K60,IF(AND(K60=0,SUM(G60:J60)=QuestionsFinance),0,QuestionsFinance-K60))</f>
        <v>18</v>
      </c>
      <c r="R60" s="257"/>
      <c r="S60" s="185"/>
      <c r="T60" s="274">
        <f>ABS(IF(SUM(G60:J60)=0,0,QuestionsFinance-SUM(G60:J60)))</f>
        <v>0</v>
      </c>
      <c r="U60" s="185"/>
      <c r="V60" s="185"/>
      <c r="W60" s="185"/>
      <c r="X60" s="185"/>
    </row>
    <row r="61" spans="3:24" x14ac:dyDescent="0.25">
      <c r="C61" s="10" t="s">
        <v>5</v>
      </c>
      <c r="D61" s="11"/>
      <c r="E61" s="239">
        <f>QuestionsSales</f>
        <v>17</v>
      </c>
      <c r="F61" s="12">
        <f>PointsSales</f>
        <v>68</v>
      </c>
      <c r="G61" s="156"/>
      <c r="H61" s="157"/>
      <c r="I61" s="157"/>
      <c r="J61" s="158"/>
      <c r="K61" s="241">
        <f>IF(SUM(G61:J61)=0,0,QuestionsSales-SUM(G61:J61))</f>
        <v>0</v>
      </c>
      <c r="L61" s="12">
        <f t="shared" si="5"/>
        <v>0</v>
      </c>
      <c r="M61" s="236">
        <f>IF(AND(K61=0,SUM(G61:J61)=0),0,IF(AND(K61=0,SUM(G61:J61)=QuestionsSales),ROUND(L61/SUM(G61:J61),1),""))</f>
        <v>0</v>
      </c>
      <c r="N61" s="254">
        <f>IF(K61=0,L61/PointsSales,"")</f>
        <v>0</v>
      </c>
      <c r="Q61" s="257">
        <f>IF(K61&lt;&gt;0,QuestionsSales-K61,IF(AND(K61=0,SUM(G61:J61)=QuestionsSales),0,QuestionsSales-K61))</f>
        <v>17</v>
      </c>
      <c r="R61" s="257"/>
      <c r="S61" s="185"/>
      <c r="T61" s="185"/>
      <c r="U61" s="274">
        <f>ABS(IF(SUM(G61:J61)=0,0,QuestionsSales-SUM(G61:J61)))</f>
        <v>0</v>
      </c>
      <c r="V61" s="185"/>
      <c r="W61" s="185"/>
      <c r="X61" s="185"/>
    </row>
    <row r="62" spans="3:24" x14ac:dyDescent="0.25">
      <c r="C62" s="10" t="s">
        <v>248</v>
      </c>
      <c r="D62" s="11"/>
      <c r="E62" s="239">
        <f>QuestionsOperations</f>
        <v>25</v>
      </c>
      <c r="F62" s="12">
        <f>PointsOperations</f>
        <v>100</v>
      </c>
      <c r="G62" s="156"/>
      <c r="H62" s="157"/>
      <c r="I62" s="157"/>
      <c r="J62" s="158"/>
      <c r="K62" s="241">
        <f>IF(SUM(G62:J62)=0,0,QuestionsOperations-SUM(G62:J62))</f>
        <v>0</v>
      </c>
      <c r="L62" s="12">
        <f t="shared" si="5"/>
        <v>0</v>
      </c>
      <c r="M62" s="236">
        <f>IF(AND(K62=0,SUM(G62:J62)=0),0,IF(AND(K62=0,SUM(G62:J62)=QuestionsOperations),ROUND(L62/SUM(G62:J62),1),""))</f>
        <v>0</v>
      </c>
      <c r="N62" s="254">
        <f>IF(K62=0,L62/PointsOperations,"")</f>
        <v>0</v>
      </c>
      <c r="Q62" s="257">
        <f>IF(K62&lt;&gt;0,QuestionsOperations-K62,IF(AND(K62=0,SUM(G62:J62)=QuestionsOperations),0,QuestionsOperations-K62))</f>
        <v>25</v>
      </c>
      <c r="R62" s="257"/>
      <c r="S62" s="185"/>
      <c r="T62" s="185"/>
      <c r="U62" s="185"/>
      <c r="V62" s="274">
        <f>ABS(IF(SUM(G62:J62)=0,0,QuestionsOperations-SUM(G62:J62)))</f>
        <v>0</v>
      </c>
      <c r="W62" s="185"/>
      <c r="X62" s="185"/>
    </row>
    <row r="63" spans="3:24" x14ac:dyDescent="0.25">
      <c r="C63" s="10" t="s">
        <v>15</v>
      </c>
      <c r="D63" s="11"/>
      <c r="E63" s="239">
        <f>QuestionsWarehouse</f>
        <v>18</v>
      </c>
      <c r="F63" s="12">
        <f>PointsWarehouse</f>
        <v>72</v>
      </c>
      <c r="G63" s="156"/>
      <c r="H63" s="157"/>
      <c r="I63" s="157"/>
      <c r="J63" s="158"/>
      <c r="K63" s="241">
        <f>IF(SUM(G63:J63)=0,0,QuestionsWarehouse-SUM(G63:J63))</f>
        <v>0</v>
      </c>
      <c r="L63" s="12">
        <f t="shared" si="5"/>
        <v>0</v>
      </c>
      <c r="M63" s="236">
        <f>IF(AND(K63=0,SUM(G63:J63)=0),0,IF(AND(K63=0,SUM(G63:J63)=QuestionsWarehouse),ROUND(L63/SUM(G63:J63),1),""))</f>
        <v>0</v>
      </c>
      <c r="N63" s="254">
        <f>IF(K63=0,L63/PointsWarehouse,"")</f>
        <v>0</v>
      </c>
      <c r="Q63" s="257">
        <f>IF(K63&lt;&gt;0,QuestionsWarehouse-K63,IF(AND(K63=0,SUM(G63:J63)=QuestionsWarehouse),0,QuestionsWarehouse-K63))</f>
        <v>18</v>
      </c>
      <c r="R63" s="257"/>
      <c r="S63" s="185"/>
      <c r="T63" s="185"/>
      <c r="U63" s="185"/>
      <c r="V63" s="185"/>
      <c r="W63" s="274">
        <f>ABS(IF(SUM(G63:J63)=0,0,QuestionsWarehouse-SUM(G63:J63)))</f>
        <v>0</v>
      </c>
      <c r="X63" s="185"/>
    </row>
    <row r="64" spans="3:24" x14ac:dyDescent="0.25">
      <c r="C64" s="10" t="s">
        <v>6</v>
      </c>
      <c r="D64" s="11"/>
      <c r="E64" s="239">
        <f>QuestionsRiskManagement</f>
        <v>16</v>
      </c>
      <c r="F64" s="12">
        <f>PointsRiskManagement</f>
        <v>64</v>
      </c>
      <c r="G64" s="156"/>
      <c r="H64" s="157"/>
      <c r="I64" s="157"/>
      <c r="J64" s="158"/>
      <c r="K64" s="241">
        <f>IF(SUM(G64:J64)=0,0,QuestionsRiskManagement-SUM(G64:J64))</f>
        <v>0</v>
      </c>
      <c r="L64" s="12">
        <f t="shared" si="5"/>
        <v>0</v>
      </c>
      <c r="M64" s="236">
        <f>IF(AND(K64=0,SUM(G64:J64)=0),0,IF(AND(K64=0,SUM(G64:J64)=QuestionsRiskManagement),ROUND(L64/SUM(G64:J64),1),""))</f>
        <v>0</v>
      </c>
      <c r="N64" s="254">
        <f>IF(K64=0,L64/PointsRiskManagement,"")</f>
        <v>0</v>
      </c>
      <c r="Q64" s="257">
        <f>IF(K64&lt;&gt;0,QuestionsRiskManagement-K64,IF(AND(K64=0,SUM(G64:J64)=QuestionsRiskManagement),0,QuestionsRiskManagement-K64))</f>
        <v>16</v>
      </c>
      <c r="R64" s="257"/>
      <c r="S64" s="185"/>
      <c r="T64" s="185"/>
      <c r="U64" s="185"/>
      <c r="V64" s="185"/>
      <c r="W64" s="185"/>
      <c r="X64" s="274">
        <f>ABS(IF(SUM(G64:J64)=0,0,QuestionsRiskManagement-SUM(G64:J64)))</f>
        <v>0</v>
      </c>
    </row>
    <row r="65" spans="3:24" x14ac:dyDescent="0.25">
      <c r="C65" s="27" t="s">
        <v>65</v>
      </c>
      <c r="D65" s="28"/>
      <c r="E65" s="240">
        <f>SUM(E59:E64)</f>
        <v>124</v>
      </c>
      <c r="F65" s="29">
        <f>PointsTotal</f>
        <v>496</v>
      </c>
      <c r="G65" s="30">
        <f>SUM(G59:G64)</f>
        <v>0</v>
      </c>
      <c r="H65" s="31">
        <f>SUM(H59:H64)</f>
        <v>0</v>
      </c>
      <c r="I65" s="31">
        <f>SUM(I59:I64)</f>
        <v>0</v>
      </c>
      <c r="J65" s="32">
        <f>SUM(J59:J64)</f>
        <v>0</v>
      </c>
      <c r="K65" s="242">
        <f>ABS(K59)+ABS(K60)+ABS(K61)+ABS(K62)+ABS(K63)+ABS(K64)</f>
        <v>0</v>
      </c>
      <c r="L65" s="29">
        <f t="shared" si="5"/>
        <v>0</v>
      </c>
      <c r="M65" s="29">
        <f>IF(AND(K65=0,SUM(G65:J65)=0),0,IF(AND(K65=0,SUM(G65:J65)=E65),ROUND(L65/SUM(G65:J65),1),""))</f>
        <v>0</v>
      </c>
      <c r="N65" s="254">
        <f>IF(K65=0,L65/PointsTotal,"")</f>
        <v>0</v>
      </c>
      <c r="R65" s="257">
        <f>SUM(Q59:Q64)-E65</f>
        <v>0</v>
      </c>
      <c r="S65" s="185"/>
      <c r="T65" s="185"/>
      <c r="U65" s="185"/>
      <c r="V65" s="185"/>
      <c r="W65" s="185"/>
      <c r="X65" s="185"/>
    </row>
    <row r="66" spans="3:24" x14ac:dyDescent="0.25">
      <c r="C66" s="22"/>
      <c r="N66" s="243"/>
      <c r="S66" s="269"/>
      <c r="T66" s="262"/>
      <c r="U66" s="262"/>
      <c r="V66" s="262"/>
      <c r="W66" s="262"/>
      <c r="X66" s="270"/>
    </row>
    <row r="67" spans="3:24" x14ac:dyDescent="0.25">
      <c r="C67" s="550" t="s">
        <v>85</v>
      </c>
      <c r="D67" s="551"/>
      <c r="E67" s="551"/>
      <c r="F67" s="551"/>
      <c r="G67" s="377" t="s">
        <v>214</v>
      </c>
      <c r="H67" s="377"/>
      <c r="I67" s="377"/>
      <c r="J67" s="377"/>
      <c r="K67" s="279"/>
      <c r="L67" s="1"/>
      <c r="M67" s="1"/>
      <c r="N67" s="255"/>
      <c r="S67" s="263"/>
      <c r="T67" s="260"/>
      <c r="U67" s="260"/>
      <c r="V67" s="260"/>
      <c r="W67" s="260"/>
      <c r="X67" s="271"/>
    </row>
    <row r="68" spans="3:24" ht="7.5" customHeight="1" x14ac:dyDescent="0.25">
      <c r="C68" s="3"/>
      <c r="D68" s="1"/>
      <c r="E68" s="1"/>
      <c r="F68" s="1"/>
      <c r="G68" s="306"/>
      <c r="H68" s="307"/>
      <c r="I68" s="307"/>
      <c r="J68" s="307"/>
      <c r="K68" s="1"/>
      <c r="L68" s="1"/>
      <c r="M68" s="1"/>
      <c r="N68" s="255"/>
      <c r="S68" s="263"/>
      <c r="T68" s="260"/>
      <c r="U68" s="260"/>
      <c r="V68" s="260"/>
      <c r="W68" s="260"/>
      <c r="X68" s="271"/>
    </row>
    <row r="69" spans="3:24" ht="15" customHeight="1" x14ac:dyDescent="0.25">
      <c r="C69" s="4"/>
      <c r="D69" s="5"/>
      <c r="E69" s="237" t="s">
        <v>180</v>
      </c>
      <c r="F69" s="6" t="s">
        <v>17</v>
      </c>
      <c r="G69" s="373" t="s">
        <v>20</v>
      </c>
      <c r="H69" s="373"/>
      <c r="I69" s="374"/>
      <c r="J69" s="375"/>
      <c r="K69" s="33" t="s">
        <v>135</v>
      </c>
      <c r="L69" s="6" t="s">
        <v>16</v>
      </c>
      <c r="M69" s="6" t="s">
        <v>61</v>
      </c>
      <c r="N69" s="538" t="s">
        <v>226</v>
      </c>
      <c r="S69" s="263"/>
      <c r="T69" s="260"/>
      <c r="U69" s="260"/>
      <c r="V69" s="260"/>
      <c r="W69" s="260"/>
      <c r="X69" s="271"/>
    </row>
    <row r="70" spans="3:24" x14ac:dyDescent="0.25">
      <c r="C70" s="7"/>
      <c r="D70" s="8"/>
      <c r="E70" s="238" t="s">
        <v>179</v>
      </c>
      <c r="F70" s="9" t="s">
        <v>18</v>
      </c>
      <c r="G70" s="372">
        <v>1</v>
      </c>
      <c r="H70" s="318">
        <v>2</v>
      </c>
      <c r="I70" s="318">
        <v>3</v>
      </c>
      <c r="J70" s="319">
        <v>4</v>
      </c>
      <c r="K70" s="34" t="s">
        <v>136</v>
      </c>
      <c r="L70" s="9" t="s">
        <v>18</v>
      </c>
      <c r="M70" s="9" t="s">
        <v>10</v>
      </c>
      <c r="N70" s="539"/>
      <c r="S70" s="264"/>
      <c r="T70" s="265"/>
      <c r="U70" s="265"/>
      <c r="V70" s="265"/>
      <c r="W70" s="265"/>
      <c r="X70" s="272"/>
    </row>
    <row r="71" spans="3:24" x14ac:dyDescent="0.25">
      <c r="C71" s="10" t="s">
        <v>3</v>
      </c>
      <c r="D71" s="11"/>
      <c r="E71" s="239">
        <f>QuestionsManagement</f>
        <v>30</v>
      </c>
      <c r="F71" s="12">
        <f>PointsManagement</f>
        <v>120</v>
      </c>
      <c r="G71" s="156"/>
      <c r="H71" s="157"/>
      <c r="I71" s="157"/>
      <c r="J71" s="158"/>
      <c r="K71" s="241">
        <f>IF(SUM(G71:J71)=0,0,QuestionsManagement-SUM(G71:J71))</f>
        <v>0</v>
      </c>
      <c r="L71" s="12">
        <f t="shared" ref="L71:L77" si="6">IF(K71=0,(G71*1)+(H71*2)+(I71*3)+(J71*4),"")</f>
        <v>0</v>
      </c>
      <c r="M71" s="236">
        <f>IF(AND(K71=0,SUM(G71:J71)=0),0,IF(AND(K71=0,SUM(G71:J71)=QuestionsManagement),ROUND(L71/SUM(G71:J71),1),""))</f>
        <v>0</v>
      </c>
      <c r="N71" s="254">
        <f>IF(K71=0,L71/PointsManagement,"")</f>
        <v>0</v>
      </c>
      <c r="Q71" s="257">
        <f>IF(K71&lt;&gt;0,QuestionsManagement-K71,IF(AND(K71=0,SUM(G71:J71)=QuestionsManagement),0,QuestionsManagement-K71))</f>
        <v>30</v>
      </c>
      <c r="R71" s="257"/>
      <c r="S71" s="274">
        <f>ABS(IF(SUM(G71:J71)=0,0,QuestionsManagement-SUM(G71:J71)))</f>
        <v>0</v>
      </c>
      <c r="T71" s="185"/>
      <c r="U71" s="185"/>
      <c r="V71" s="185"/>
      <c r="W71" s="185"/>
      <c r="X71" s="185"/>
    </row>
    <row r="72" spans="3:24" x14ac:dyDescent="0.25">
      <c r="C72" s="10" t="s">
        <v>4</v>
      </c>
      <c r="D72" s="11"/>
      <c r="E72" s="239">
        <f>QuestionsFinance</f>
        <v>18</v>
      </c>
      <c r="F72" s="12">
        <f>PointsFinance</f>
        <v>72</v>
      </c>
      <c r="G72" s="156"/>
      <c r="H72" s="157"/>
      <c r="I72" s="157"/>
      <c r="J72" s="158"/>
      <c r="K72" s="276">
        <f>IF(SUM(G72:J72)=0,0,QuestionsFinance-SUM(G72:J72))</f>
        <v>0</v>
      </c>
      <c r="L72" s="12">
        <f t="shared" si="6"/>
        <v>0</v>
      </c>
      <c r="M72" s="236">
        <f>IF(AND(K72=0,SUM(G72:J72)=0),0,IF(AND(K72=0,SUM(G72:J72)=QuestionsFinance),ROUND(L72/SUM(G72:J72),1),""))</f>
        <v>0</v>
      </c>
      <c r="N72" s="254">
        <f>IF(K72=0,L72/PointsFinance,"")</f>
        <v>0</v>
      </c>
      <c r="Q72" s="257">
        <f>IF(K72&lt;&gt;0,QuestionsFinance-K72,IF(AND(K72=0,SUM(G72:J72)=QuestionsFinance),0,QuestionsFinance-K72))</f>
        <v>18</v>
      </c>
      <c r="R72" s="257"/>
      <c r="S72" s="185"/>
      <c r="T72" s="274">
        <f>ABS(IF(SUM(G72:J72)=0,0,QuestionsFinance-SUM(G72:J72)))</f>
        <v>0</v>
      </c>
      <c r="U72" s="185"/>
      <c r="V72" s="185"/>
      <c r="W72" s="185"/>
      <c r="X72" s="185"/>
    </row>
    <row r="73" spans="3:24" x14ac:dyDescent="0.25">
      <c r="C73" s="10" t="s">
        <v>5</v>
      </c>
      <c r="D73" s="11"/>
      <c r="E73" s="239">
        <f>QuestionsSales</f>
        <v>17</v>
      </c>
      <c r="F73" s="12">
        <f>PointsSales</f>
        <v>68</v>
      </c>
      <c r="G73" s="156"/>
      <c r="H73" s="157"/>
      <c r="I73" s="157"/>
      <c r="J73" s="158"/>
      <c r="K73" s="241">
        <f>IF(SUM(G73:J73)=0,0,QuestionsSales-SUM(G73:J73))</f>
        <v>0</v>
      </c>
      <c r="L73" s="12">
        <f t="shared" si="6"/>
        <v>0</v>
      </c>
      <c r="M73" s="236">
        <f>IF(AND(K73=0,SUM(G73:J73)=0),0,IF(AND(K73=0,SUM(G73:J73)=QuestionsSales),ROUND(L73/SUM(G73:J73),1),""))</f>
        <v>0</v>
      </c>
      <c r="N73" s="254">
        <f>IF(K73=0,L73/PointsSales,"")</f>
        <v>0</v>
      </c>
      <c r="Q73" s="257">
        <f>IF(K73&lt;&gt;0,QuestionsSales-K73,IF(AND(K73=0,SUM(G73:J73)=QuestionsSales),0,QuestionsSales-K73))</f>
        <v>17</v>
      </c>
      <c r="R73" s="257"/>
      <c r="S73" s="185"/>
      <c r="T73" s="185"/>
      <c r="U73" s="274">
        <f>ABS(IF(SUM(G73:J73)=0,0,QuestionsSales-SUM(G73:J73)))</f>
        <v>0</v>
      </c>
      <c r="V73" s="185"/>
      <c r="W73" s="185"/>
      <c r="X73" s="185"/>
    </row>
    <row r="74" spans="3:24" x14ac:dyDescent="0.25">
      <c r="C74" s="10" t="s">
        <v>248</v>
      </c>
      <c r="D74" s="11"/>
      <c r="E74" s="239">
        <f>QuestionsOperations</f>
        <v>25</v>
      </c>
      <c r="F74" s="12">
        <f>PointsOperations</f>
        <v>100</v>
      </c>
      <c r="G74" s="156"/>
      <c r="H74" s="157"/>
      <c r="I74" s="157"/>
      <c r="J74" s="158"/>
      <c r="K74" s="241">
        <f>IF(SUM(G74:J74)=0,0,QuestionsOperations-SUM(G74:J74))</f>
        <v>0</v>
      </c>
      <c r="L74" s="12">
        <f t="shared" si="6"/>
        <v>0</v>
      </c>
      <c r="M74" s="236">
        <f>IF(AND(K74=0,SUM(G74:J74)=0),0,IF(AND(K74=0,SUM(G74:J74)=QuestionsOperations),ROUND(L74/SUM(G74:J74),1),""))</f>
        <v>0</v>
      </c>
      <c r="N74" s="254">
        <f>IF(K74=0,L74/PointsOperations,"")</f>
        <v>0</v>
      </c>
      <c r="Q74" s="257">
        <f>IF(K74&lt;&gt;0,QuestionsOperations-K74,IF(AND(K74=0,SUM(G74:J74)=QuestionsOperations),0,QuestionsOperations-K74))</f>
        <v>25</v>
      </c>
      <c r="R74" s="257"/>
      <c r="S74" s="185"/>
      <c r="T74" s="185"/>
      <c r="U74" s="185"/>
      <c r="V74" s="274">
        <f>ABS(IF(SUM(G74:J74)=0,0,QuestionsOperations-SUM(G74:J74)))</f>
        <v>0</v>
      </c>
      <c r="W74" s="185"/>
      <c r="X74" s="185"/>
    </row>
    <row r="75" spans="3:24" x14ac:dyDescent="0.25">
      <c r="C75" s="10" t="s">
        <v>15</v>
      </c>
      <c r="D75" s="11"/>
      <c r="E75" s="239">
        <f>QuestionsWarehouse</f>
        <v>18</v>
      </c>
      <c r="F75" s="12">
        <f>PointsWarehouse</f>
        <v>72</v>
      </c>
      <c r="G75" s="156"/>
      <c r="H75" s="157"/>
      <c r="I75" s="157"/>
      <c r="J75" s="158"/>
      <c r="K75" s="241">
        <f>IF(SUM(G75:J75)=0,0,QuestionsWarehouse-SUM(G75:J75))</f>
        <v>0</v>
      </c>
      <c r="L75" s="12">
        <f t="shared" si="6"/>
        <v>0</v>
      </c>
      <c r="M75" s="236">
        <f>IF(AND(K75=0,SUM(G75:J75)=0),0,IF(AND(K75=0,SUM(G75:J75)=QuestionsWarehouse),ROUND(L75/SUM(G75:J75),1),""))</f>
        <v>0</v>
      </c>
      <c r="N75" s="254">
        <f>IF(K75=0,L75/PointsWarehouse,"")</f>
        <v>0</v>
      </c>
      <c r="Q75" s="257">
        <f>IF(K75&lt;&gt;0,QuestionsWarehouse-K75,IF(AND(K75=0,SUM(G75:J75)=QuestionsWarehouse),0,QuestionsWarehouse-K75))</f>
        <v>18</v>
      </c>
      <c r="R75" s="257"/>
      <c r="S75" s="185"/>
      <c r="T75" s="185"/>
      <c r="U75" s="185"/>
      <c r="V75" s="185"/>
      <c r="W75" s="274">
        <f>ABS(IF(SUM(G75:J75)=0,0,QuestionsWarehouse-SUM(G75:J75)))</f>
        <v>0</v>
      </c>
      <c r="X75" s="185"/>
    </row>
    <row r="76" spans="3:24" x14ac:dyDescent="0.25">
      <c r="C76" s="10" t="s">
        <v>6</v>
      </c>
      <c r="D76" s="11"/>
      <c r="E76" s="239">
        <f>QuestionsRiskManagement</f>
        <v>16</v>
      </c>
      <c r="F76" s="12">
        <f>PointsRiskManagement</f>
        <v>64</v>
      </c>
      <c r="G76" s="156"/>
      <c r="H76" s="157"/>
      <c r="I76" s="157"/>
      <c r="J76" s="158"/>
      <c r="K76" s="241">
        <f>IF(SUM(G76:J76)=0,0,QuestionsRiskManagement-SUM(G76:J76))</f>
        <v>0</v>
      </c>
      <c r="L76" s="12">
        <f t="shared" si="6"/>
        <v>0</v>
      </c>
      <c r="M76" s="236">
        <f>IF(AND(K76=0,SUM(G76:J76)=0),0,IF(AND(K76=0,SUM(G76:J76)=QuestionsRiskManagement),ROUND(L76/SUM(G76:J76),1),""))</f>
        <v>0</v>
      </c>
      <c r="N76" s="254">
        <f>IF(K76=0,L76/PointsRiskManagement,"")</f>
        <v>0</v>
      </c>
      <c r="Q76" s="257">
        <f>IF(K76&lt;&gt;0,QuestionsRiskManagement-K76,IF(AND(K76=0,SUM(G76:J76)=QuestionsRiskManagement),0,QuestionsRiskManagement-K76))</f>
        <v>16</v>
      </c>
      <c r="R76" s="257"/>
      <c r="S76" s="185"/>
      <c r="T76" s="185"/>
      <c r="U76" s="185"/>
      <c r="V76" s="185"/>
      <c r="W76" s="185"/>
      <c r="X76" s="274">
        <f>ABS(IF(SUM(G76:J76)=0,0,QuestionsRiskManagement-SUM(G76:J76)))</f>
        <v>0</v>
      </c>
    </row>
    <row r="77" spans="3:24" x14ac:dyDescent="0.25">
      <c r="C77" s="27" t="s">
        <v>65</v>
      </c>
      <c r="D77" s="28"/>
      <c r="E77" s="240">
        <f>SUM(E71:E76)</f>
        <v>124</v>
      </c>
      <c r="F77" s="29">
        <f>PointsTotal</f>
        <v>496</v>
      </c>
      <c r="G77" s="30">
        <f>SUM(G71:G76)</f>
        <v>0</v>
      </c>
      <c r="H77" s="31">
        <f>SUM(H71:H76)</f>
        <v>0</v>
      </c>
      <c r="I77" s="31">
        <f>SUM(I71:I76)</f>
        <v>0</v>
      </c>
      <c r="J77" s="32">
        <f>SUM(J71:J76)</f>
        <v>0</v>
      </c>
      <c r="K77" s="242">
        <f>ABS(K71)+ABS(K72)+ABS(K73)+ABS(K74)+ABS(K75)+ABS(K76)</f>
        <v>0</v>
      </c>
      <c r="L77" s="29">
        <f t="shared" si="6"/>
        <v>0</v>
      </c>
      <c r="M77" s="29">
        <f>IF(AND(K77=0,SUM(G77:J77)=0),0,IF(AND(K77=0,SUM(G77:J77)=E77),ROUND(L77/SUM(G77:J77),1),""))</f>
        <v>0</v>
      </c>
      <c r="N77" s="254">
        <f>IF(K77=0,L77/PointsTotal,"")</f>
        <v>0</v>
      </c>
      <c r="R77" s="257">
        <f>SUM(Q71:Q76)-E77</f>
        <v>0</v>
      </c>
      <c r="S77" s="185"/>
      <c r="T77" s="185"/>
      <c r="U77" s="185"/>
      <c r="V77" s="185"/>
      <c r="W77" s="185"/>
      <c r="X77" s="185"/>
    </row>
    <row r="78" spans="3:24" x14ac:dyDescent="0.25">
      <c r="N78" s="243"/>
      <c r="S78" s="269"/>
      <c r="T78" s="262"/>
      <c r="U78" s="262"/>
      <c r="V78" s="262"/>
      <c r="W78" s="262"/>
      <c r="X78" s="270"/>
    </row>
    <row r="79" spans="3:24" x14ac:dyDescent="0.25">
      <c r="C79" s="550" t="s">
        <v>84</v>
      </c>
      <c r="D79" s="551"/>
      <c r="E79" s="551"/>
      <c r="F79" s="551"/>
      <c r="G79" s="377" t="s">
        <v>215</v>
      </c>
      <c r="H79" s="377"/>
      <c r="I79" s="377"/>
      <c r="J79" s="377"/>
      <c r="K79" s="279"/>
      <c r="L79" s="1"/>
      <c r="M79" s="1"/>
      <c r="N79" s="255"/>
      <c r="S79" s="263"/>
      <c r="T79" s="260"/>
      <c r="U79" s="260"/>
      <c r="V79" s="260"/>
      <c r="W79" s="260"/>
      <c r="X79" s="271"/>
    </row>
    <row r="80" spans="3:24" ht="7.5" customHeight="1" x14ac:dyDescent="0.25">
      <c r="C80" s="3"/>
      <c r="D80" s="1"/>
      <c r="E80" s="1"/>
      <c r="F80" s="1"/>
      <c r="G80" s="306"/>
      <c r="H80" s="307"/>
      <c r="I80" s="307"/>
      <c r="J80" s="307"/>
      <c r="K80" s="1"/>
      <c r="L80" s="1"/>
      <c r="M80" s="1"/>
      <c r="N80" s="255"/>
      <c r="S80" s="263"/>
      <c r="T80" s="260"/>
      <c r="U80" s="260"/>
      <c r="V80" s="260"/>
      <c r="W80" s="260"/>
      <c r="X80" s="271"/>
    </row>
    <row r="81" spans="3:24" ht="15" customHeight="1" x14ac:dyDescent="0.25">
      <c r="C81" s="4"/>
      <c r="D81" s="5"/>
      <c r="E81" s="237" t="s">
        <v>180</v>
      </c>
      <c r="F81" s="6" t="s">
        <v>17</v>
      </c>
      <c r="G81" s="373" t="s">
        <v>20</v>
      </c>
      <c r="H81" s="373"/>
      <c r="I81" s="374"/>
      <c r="J81" s="375"/>
      <c r="K81" s="33" t="s">
        <v>135</v>
      </c>
      <c r="L81" s="6" t="s">
        <v>16</v>
      </c>
      <c r="M81" s="6" t="s">
        <v>61</v>
      </c>
      <c r="N81" s="538" t="s">
        <v>226</v>
      </c>
      <c r="S81" s="263"/>
      <c r="T81" s="260"/>
      <c r="U81" s="260"/>
      <c r="V81" s="260"/>
      <c r="W81" s="260"/>
      <c r="X81" s="271"/>
    </row>
    <row r="82" spans="3:24" x14ac:dyDescent="0.25">
      <c r="C82" s="7"/>
      <c r="D82" s="8"/>
      <c r="E82" s="238" t="s">
        <v>179</v>
      </c>
      <c r="F82" s="9" t="s">
        <v>18</v>
      </c>
      <c r="G82" s="372">
        <v>1</v>
      </c>
      <c r="H82" s="318">
        <v>2</v>
      </c>
      <c r="I82" s="318">
        <v>3</v>
      </c>
      <c r="J82" s="319">
        <v>4</v>
      </c>
      <c r="K82" s="34" t="s">
        <v>136</v>
      </c>
      <c r="L82" s="9" t="s">
        <v>18</v>
      </c>
      <c r="M82" s="9" t="s">
        <v>10</v>
      </c>
      <c r="N82" s="539"/>
      <c r="S82" s="264"/>
      <c r="T82" s="265"/>
      <c r="U82" s="265"/>
      <c r="V82" s="265"/>
      <c r="W82" s="265"/>
      <c r="X82" s="272"/>
    </row>
    <row r="83" spans="3:24" x14ac:dyDescent="0.25">
      <c r="C83" s="10" t="s">
        <v>3</v>
      </c>
      <c r="D83" s="11"/>
      <c r="E83" s="239">
        <f>QuestionsManagement</f>
        <v>30</v>
      </c>
      <c r="F83" s="12">
        <f>PointsManagement</f>
        <v>120</v>
      </c>
      <c r="G83" s="156"/>
      <c r="H83" s="157"/>
      <c r="I83" s="157"/>
      <c r="J83" s="158"/>
      <c r="K83" s="241">
        <f>IF(SUM(G83:J83)=0,0,QuestionsManagement-SUM(G83:J83))</f>
        <v>0</v>
      </c>
      <c r="L83" s="12">
        <f t="shared" ref="L83:L89" si="7">IF(K83=0,(G83*1)+(H83*2)+(I83*3)+(J83*4),"")</f>
        <v>0</v>
      </c>
      <c r="M83" s="236">
        <f>IF(AND(K83=0,SUM(G83:J83)=0),0,IF(AND(K83=0,SUM(G83:J83)=QuestionsManagement),ROUND(L83/SUM(G83:J83),1),""))</f>
        <v>0</v>
      </c>
      <c r="N83" s="254">
        <f>IF(K83=0,L83/PointsManagement,"")</f>
        <v>0</v>
      </c>
      <c r="Q83" s="257">
        <f>IF(K83&lt;&gt;0,QuestionsManagement-K83,IF(AND(K83=0,SUM(G83:J83)=QuestionsManagement),0,QuestionsManagement-K83))</f>
        <v>30</v>
      </c>
      <c r="R83" s="257"/>
      <c r="S83" s="274">
        <f>ABS(IF(SUM(G83:J83)=0,0,QuestionsManagement-SUM(G83:J83)))</f>
        <v>0</v>
      </c>
      <c r="T83" s="185"/>
      <c r="U83" s="185"/>
      <c r="V83" s="185"/>
      <c r="W83" s="185"/>
      <c r="X83" s="185"/>
    </row>
    <row r="84" spans="3:24" x14ac:dyDescent="0.25">
      <c r="C84" s="10" t="s">
        <v>4</v>
      </c>
      <c r="D84" s="11"/>
      <c r="E84" s="239">
        <f>QuestionsFinance</f>
        <v>18</v>
      </c>
      <c r="F84" s="12">
        <f>PointsFinance</f>
        <v>72</v>
      </c>
      <c r="G84" s="156"/>
      <c r="H84" s="157"/>
      <c r="I84" s="157"/>
      <c r="J84" s="158"/>
      <c r="K84" s="276">
        <f>IF(SUM(G84:J84)=0,0,QuestionsFinance-SUM(G84:J84))</f>
        <v>0</v>
      </c>
      <c r="L84" s="12">
        <f t="shared" si="7"/>
        <v>0</v>
      </c>
      <c r="M84" s="236">
        <f>IF(AND(K84=0,SUM(G84:J84)=0),0,IF(AND(K84=0,SUM(G84:J84)=QuestionsFinance),ROUND(L84/SUM(G84:J84),1),""))</f>
        <v>0</v>
      </c>
      <c r="N84" s="254">
        <f>IF(K84=0,L84/PointsFinance,"")</f>
        <v>0</v>
      </c>
      <c r="Q84" s="257">
        <f>IF(K84&lt;&gt;0,QuestionsFinance-K84,IF(AND(K84=0,SUM(G84:J84)=QuestionsFinance),0,QuestionsFinance-K84))</f>
        <v>18</v>
      </c>
      <c r="R84" s="257"/>
      <c r="S84" s="185"/>
      <c r="T84" s="274">
        <f>ABS(IF(SUM(G84:J84)=0,0,QuestionsFinance-SUM(G84:J84)))</f>
        <v>0</v>
      </c>
      <c r="U84" s="185"/>
      <c r="V84" s="185"/>
      <c r="W84" s="185"/>
      <c r="X84" s="185"/>
    </row>
    <row r="85" spans="3:24" x14ac:dyDescent="0.25">
      <c r="C85" s="10" t="s">
        <v>5</v>
      </c>
      <c r="D85" s="11"/>
      <c r="E85" s="239">
        <f>QuestionsSales</f>
        <v>17</v>
      </c>
      <c r="F85" s="12">
        <f>PointsSales</f>
        <v>68</v>
      </c>
      <c r="G85" s="156"/>
      <c r="H85" s="157"/>
      <c r="I85" s="157"/>
      <c r="J85" s="158"/>
      <c r="K85" s="241">
        <f>IF(SUM(G85:J85)=0,0,QuestionsSales-SUM(G85:J85))</f>
        <v>0</v>
      </c>
      <c r="L85" s="12">
        <f t="shared" si="7"/>
        <v>0</v>
      </c>
      <c r="M85" s="236">
        <f>IF(AND(K85=0,SUM(G85:J85)=0),0,IF(AND(K85=0,SUM(G85:J85)=QuestionsSales),ROUND(L85/SUM(G85:J85),1),""))</f>
        <v>0</v>
      </c>
      <c r="N85" s="254">
        <f>IF(K85=0,L85/PointsSales,"")</f>
        <v>0</v>
      </c>
      <c r="Q85" s="257">
        <f>IF(K85&lt;&gt;0,QuestionsSales-K85,IF(AND(K85=0,SUM(G85:J85)=QuestionsSales),0,QuestionsSales-K85))</f>
        <v>17</v>
      </c>
      <c r="R85" s="257"/>
      <c r="S85" s="185"/>
      <c r="T85" s="185"/>
      <c r="U85" s="274">
        <f>ABS(IF(SUM(G85:J85)=0,0,QuestionsSales-SUM(G85:J85)))</f>
        <v>0</v>
      </c>
      <c r="V85" s="185"/>
      <c r="W85" s="185"/>
      <c r="X85" s="185"/>
    </row>
    <row r="86" spans="3:24" x14ac:dyDescent="0.25">
      <c r="C86" s="10" t="s">
        <v>248</v>
      </c>
      <c r="D86" s="11"/>
      <c r="E86" s="239">
        <f>QuestionsOperations</f>
        <v>25</v>
      </c>
      <c r="F86" s="12">
        <f>PointsOperations</f>
        <v>100</v>
      </c>
      <c r="G86" s="156"/>
      <c r="H86" s="157"/>
      <c r="I86" s="157"/>
      <c r="J86" s="158"/>
      <c r="K86" s="241">
        <f>IF(SUM(G86:J86)=0,0,QuestionsOperations-SUM(G86:J86))</f>
        <v>0</v>
      </c>
      <c r="L86" s="12">
        <f t="shared" si="7"/>
        <v>0</v>
      </c>
      <c r="M86" s="236">
        <f>IF(AND(K86=0,SUM(G86:J86)=0),0,IF(AND(K86=0,SUM(G86:J86)=QuestionsOperations),ROUND(L86/SUM(G86:J86),1),""))</f>
        <v>0</v>
      </c>
      <c r="N86" s="254">
        <f>IF(K86=0,L86/PointsOperations,"")</f>
        <v>0</v>
      </c>
      <c r="Q86" s="257">
        <f>IF(K86&lt;&gt;0,QuestionsOperations-K86,IF(AND(K86=0,SUM(G86:J86)=QuestionsOperations),0,QuestionsOperations-K86))</f>
        <v>25</v>
      </c>
      <c r="R86" s="257"/>
      <c r="S86" s="185"/>
      <c r="T86" s="185"/>
      <c r="U86" s="185"/>
      <c r="V86" s="274">
        <f>ABS(IF(SUM(G86:J86)=0,0,QuestionsOperations-SUM(G86:J86)))</f>
        <v>0</v>
      </c>
      <c r="W86" s="185"/>
      <c r="X86" s="185"/>
    </row>
    <row r="87" spans="3:24" x14ac:dyDescent="0.25">
      <c r="C87" s="10" t="s">
        <v>15</v>
      </c>
      <c r="D87" s="11"/>
      <c r="E87" s="239">
        <f>QuestionsWarehouse</f>
        <v>18</v>
      </c>
      <c r="F87" s="12">
        <f>PointsWarehouse</f>
        <v>72</v>
      </c>
      <c r="G87" s="156"/>
      <c r="H87" s="157"/>
      <c r="I87" s="157"/>
      <c r="J87" s="158"/>
      <c r="K87" s="241">
        <f>IF(SUM(G87:J87)=0,0,QuestionsWarehouse-SUM(G87:J87))</f>
        <v>0</v>
      </c>
      <c r="L87" s="12">
        <f t="shared" si="7"/>
        <v>0</v>
      </c>
      <c r="M87" s="236">
        <f>IF(AND(K87=0,SUM(G87:J87)=0),0,IF(AND(K87=0,SUM(G87:J87)=QuestionsWarehouse),ROUND(L87/SUM(G87:J87),1),""))</f>
        <v>0</v>
      </c>
      <c r="N87" s="254">
        <f>IF(K87=0,L87/PointsWarehouse,"")</f>
        <v>0</v>
      </c>
      <c r="Q87" s="257">
        <f>IF(K87&lt;&gt;0,QuestionsWarehouse-K87,IF(AND(K87=0,SUM(G87:J87)=QuestionsWarehouse),0,QuestionsWarehouse-K87))</f>
        <v>18</v>
      </c>
      <c r="R87" s="257"/>
      <c r="S87" s="185"/>
      <c r="T87" s="185"/>
      <c r="U87" s="185"/>
      <c r="V87" s="185"/>
      <c r="W87" s="274">
        <f>ABS(IF(SUM(G87:J87)=0,0,QuestionsWarehouse-SUM(G87:J87)))</f>
        <v>0</v>
      </c>
      <c r="X87" s="185"/>
    </row>
    <row r="88" spans="3:24" x14ac:dyDescent="0.25">
      <c r="C88" s="10" t="s">
        <v>6</v>
      </c>
      <c r="D88" s="11"/>
      <c r="E88" s="239">
        <f>QuestionsRiskManagement</f>
        <v>16</v>
      </c>
      <c r="F88" s="12">
        <f>PointsRiskManagement</f>
        <v>64</v>
      </c>
      <c r="G88" s="156"/>
      <c r="H88" s="157"/>
      <c r="I88" s="157"/>
      <c r="J88" s="158"/>
      <c r="K88" s="241">
        <f>IF(SUM(G88:J88)=0,0,QuestionsRiskManagement-SUM(G88:J88))</f>
        <v>0</v>
      </c>
      <c r="L88" s="12">
        <f t="shared" si="7"/>
        <v>0</v>
      </c>
      <c r="M88" s="236">
        <f>IF(AND(K88=0,SUM(G88:J88)=0),0,IF(AND(K88=0,SUM(G88:J88)=QuestionsRiskManagement),ROUND(L88/SUM(G88:J88),1),""))</f>
        <v>0</v>
      </c>
      <c r="N88" s="254">
        <f>IF(K88=0,L88/PointsRiskManagement,"")</f>
        <v>0</v>
      </c>
      <c r="Q88" s="257">
        <f>IF(K88&lt;&gt;0,QuestionsRiskManagement-K88,IF(AND(K88=0,SUM(G88:J88)=QuestionsRiskManagement),0,QuestionsRiskManagement-K88))</f>
        <v>16</v>
      </c>
      <c r="R88" s="257"/>
      <c r="S88" s="185"/>
      <c r="T88" s="185"/>
      <c r="U88" s="185"/>
      <c r="V88" s="185"/>
      <c r="W88" s="185"/>
      <c r="X88" s="274">
        <f>ABS(IF(SUM(G88:J88)=0,0,QuestionsRiskManagement-SUM(G88:J88)))</f>
        <v>0</v>
      </c>
    </row>
    <row r="89" spans="3:24" x14ac:dyDescent="0.25">
      <c r="C89" s="27" t="s">
        <v>65</v>
      </c>
      <c r="D89" s="28"/>
      <c r="E89" s="240">
        <f>SUM(E83:E88)</f>
        <v>124</v>
      </c>
      <c r="F89" s="29">
        <f>PointsTotal</f>
        <v>496</v>
      </c>
      <c r="G89" s="30">
        <f>SUM(G83:G88)</f>
        <v>0</v>
      </c>
      <c r="H89" s="31">
        <f>SUM(H83:H88)</f>
        <v>0</v>
      </c>
      <c r="I89" s="31">
        <f>SUM(I83:I88)</f>
        <v>0</v>
      </c>
      <c r="J89" s="32">
        <f>SUM(J83:J88)</f>
        <v>0</v>
      </c>
      <c r="K89" s="242">
        <f>ABS(K83)+ABS(K84)+ABS(K85)+ABS(K86)+ABS(K87)+ABS(K88)</f>
        <v>0</v>
      </c>
      <c r="L89" s="29">
        <f t="shared" si="7"/>
        <v>0</v>
      </c>
      <c r="M89" s="29">
        <f>IF(AND(K89=0,SUM(G89:J89)=0),0,IF(AND(K89=0,SUM(G89:J89)=E89),ROUND(L89/SUM(G89:J89),1),""))</f>
        <v>0</v>
      </c>
      <c r="N89" s="254">
        <f>IF(K89=0,L89/PointsTotal,"")</f>
        <v>0</v>
      </c>
      <c r="R89" s="257">
        <f>SUM(Q83:Q88)-E89</f>
        <v>0</v>
      </c>
      <c r="S89" s="185"/>
      <c r="T89" s="185"/>
      <c r="U89" s="185"/>
      <c r="V89" s="185"/>
      <c r="W89" s="185"/>
      <c r="X89" s="185"/>
    </row>
    <row r="90" spans="3:24" x14ac:dyDescent="0.25">
      <c r="N90" s="243"/>
      <c r="S90" s="269"/>
      <c r="T90" s="262"/>
      <c r="U90" s="262"/>
      <c r="V90" s="262"/>
      <c r="W90" s="262"/>
      <c r="X90" s="270"/>
    </row>
    <row r="91" spans="3:24" x14ac:dyDescent="0.25">
      <c r="C91" s="550" t="s">
        <v>83</v>
      </c>
      <c r="D91" s="551"/>
      <c r="E91" s="551"/>
      <c r="F91" s="551"/>
      <c r="G91" s="377" t="s">
        <v>216</v>
      </c>
      <c r="H91" s="377"/>
      <c r="I91" s="377"/>
      <c r="J91" s="377"/>
      <c r="K91" s="279"/>
      <c r="L91" s="1"/>
      <c r="M91" s="1"/>
      <c r="N91" s="255"/>
      <c r="S91" s="263"/>
      <c r="T91" s="260"/>
      <c r="U91" s="260"/>
      <c r="V91" s="260"/>
      <c r="W91" s="260"/>
      <c r="X91" s="271"/>
    </row>
    <row r="92" spans="3:24" ht="7.5" customHeight="1" x14ac:dyDescent="0.25">
      <c r="C92" s="3"/>
      <c r="D92" s="1"/>
      <c r="E92" s="1"/>
      <c r="F92" s="1"/>
      <c r="G92" s="306"/>
      <c r="H92" s="307"/>
      <c r="I92" s="307"/>
      <c r="J92" s="307"/>
      <c r="K92" s="1"/>
      <c r="L92" s="1"/>
      <c r="M92" s="1"/>
      <c r="N92" s="255"/>
      <c r="S92" s="263"/>
      <c r="T92" s="260"/>
      <c r="U92" s="260"/>
      <c r="V92" s="260"/>
      <c r="W92" s="260"/>
      <c r="X92" s="271"/>
    </row>
    <row r="93" spans="3:24" ht="15" customHeight="1" x14ac:dyDescent="0.25">
      <c r="C93" s="4"/>
      <c r="D93" s="5"/>
      <c r="E93" s="237" t="s">
        <v>180</v>
      </c>
      <c r="F93" s="6" t="s">
        <v>17</v>
      </c>
      <c r="G93" s="373" t="s">
        <v>20</v>
      </c>
      <c r="H93" s="373"/>
      <c r="I93" s="374"/>
      <c r="J93" s="375"/>
      <c r="K93" s="33" t="s">
        <v>135</v>
      </c>
      <c r="L93" s="6" t="s">
        <v>16</v>
      </c>
      <c r="M93" s="6" t="s">
        <v>61</v>
      </c>
      <c r="N93" s="538" t="s">
        <v>226</v>
      </c>
      <c r="S93" s="263"/>
      <c r="T93" s="260"/>
      <c r="U93" s="260"/>
      <c r="V93" s="260"/>
      <c r="W93" s="260"/>
      <c r="X93" s="271"/>
    </row>
    <row r="94" spans="3:24" x14ac:dyDescent="0.25">
      <c r="C94" s="7"/>
      <c r="D94" s="8"/>
      <c r="E94" s="238" t="s">
        <v>179</v>
      </c>
      <c r="F94" s="9" t="s">
        <v>18</v>
      </c>
      <c r="G94" s="372">
        <v>1</v>
      </c>
      <c r="H94" s="318">
        <v>2</v>
      </c>
      <c r="I94" s="318">
        <v>3</v>
      </c>
      <c r="J94" s="319">
        <v>4</v>
      </c>
      <c r="K94" s="34" t="s">
        <v>136</v>
      </c>
      <c r="L94" s="9" t="s">
        <v>18</v>
      </c>
      <c r="M94" s="9" t="s">
        <v>10</v>
      </c>
      <c r="N94" s="539"/>
      <c r="S94" s="264"/>
      <c r="T94" s="265"/>
      <c r="U94" s="265"/>
      <c r="V94" s="265"/>
      <c r="W94" s="265"/>
      <c r="X94" s="272"/>
    </row>
    <row r="95" spans="3:24" x14ac:dyDescent="0.25">
      <c r="C95" s="10" t="s">
        <v>3</v>
      </c>
      <c r="D95" s="11"/>
      <c r="E95" s="239">
        <f>QuestionsManagement</f>
        <v>30</v>
      </c>
      <c r="F95" s="12">
        <f>PointsManagement</f>
        <v>120</v>
      </c>
      <c r="G95" s="156"/>
      <c r="H95" s="157"/>
      <c r="I95" s="157"/>
      <c r="J95" s="158"/>
      <c r="K95" s="241">
        <f>IF(SUM(G95:J95)=0,0,QuestionsManagement-SUM(G95:J95))</f>
        <v>0</v>
      </c>
      <c r="L95" s="12">
        <f t="shared" ref="L95:L101" si="8">IF(K95=0,(G95*1)+(H95*2)+(I95*3)+(J95*4),"")</f>
        <v>0</v>
      </c>
      <c r="M95" s="236">
        <f>IF(AND(K95=0,SUM(G95:J95)=0),0,IF(AND(K95=0,SUM(G95:J95)=QuestionsManagement),ROUND(L95/SUM(G95:J95),1),""))</f>
        <v>0</v>
      </c>
      <c r="N95" s="254">
        <f>IF(K95=0,L95/PointsManagement,"")</f>
        <v>0</v>
      </c>
      <c r="Q95" s="257">
        <f>IF(K95&lt;&gt;0,QuestionsManagement-K95,IF(AND(K95=0,SUM(G95:J95)=QuestionsManagement),0,QuestionsManagement-K95))</f>
        <v>30</v>
      </c>
      <c r="R95" s="257"/>
      <c r="S95" s="274">
        <f>ABS(IF(SUM(G95:J95)=0,0,QuestionsManagement-SUM(G95:J95)))</f>
        <v>0</v>
      </c>
      <c r="T95" s="185"/>
      <c r="U95" s="185"/>
      <c r="V95" s="185"/>
      <c r="W95" s="185"/>
      <c r="X95" s="185"/>
    </row>
    <row r="96" spans="3:24" x14ac:dyDescent="0.25">
      <c r="C96" s="10" t="s">
        <v>4</v>
      </c>
      <c r="D96" s="11"/>
      <c r="E96" s="239">
        <f>QuestionsFinance</f>
        <v>18</v>
      </c>
      <c r="F96" s="12">
        <f>PointsFinance</f>
        <v>72</v>
      </c>
      <c r="G96" s="156"/>
      <c r="H96" s="157"/>
      <c r="I96" s="157"/>
      <c r="J96" s="158"/>
      <c r="K96" s="276">
        <f>IF(SUM(G96:J96)=0,0,QuestionsFinance-SUM(G96:J96))</f>
        <v>0</v>
      </c>
      <c r="L96" s="12">
        <f t="shared" si="8"/>
        <v>0</v>
      </c>
      <c r="M96" s="236">
        <f>IF(AND(K96=0,SUM(G96:J96)=0),0,IF(AND(K96=0,SUM(G96:J96)=QuestionsFinance),ROUND(L96/SUM(G96:J96),1),""))</f>
        <v>0</v>
      </c>
      <c r="N96" s="254">
        <f>IF(K96=0,L96/PointsFinance,"")</f>
        <v>0</v>
      </c>
      <c r="Q96" s="257">
        <f>IF(K96&lt;&gt;0,QuestionsFinance-K96,IF(AND(K96=0,SUM(G96:J96)=QuestionsFinance),0,QuestionsFinance-K96))</f>
        <v>18</v>
      </c>
      <c r="R96" s="257"/>
      <c r="S96" s="185"/>
      <c r="T96" s="274">
        <f>ABS(IF(SUM(G96:J96)=0,0,QuestionsFinance-SUM(G96:J96)))</f>
        <v>0</v>
      </c>
      <c r="U96" s="185"/>
      <c r="V96" s="185"/>
      <c r="W96" s="185"/>
      <c r="X96" s="185"/>
    </row>
    <row r="97" spans="3:24" x14ac:dyDescent="0.25">
      <c r="C97" s="10" t="s">
        <v>5</v>
      </c>
      <c r="D97" s="11"/>
      <c r="E97" s="239">
        <f>QuestionsSales</f>
        <v>17</v>
      </c>
      <c r="F97" s="12">
        <f>PointsSales</f>
        <v>68</v>
      </c>
      <c r="G97" s="156"/>
      <c r="H97" s="157"/>
      <c r="I97" s="157"/>
      <c r="J97" s="158"/>
      <c r="K97" s="241">
        <f>IF(SUM(G97:J97)=0,0,QuestionsSales-SUM(G97:J97))</f>
        <v>0</v>
      </c>
      <c r="L97" s="12">
        <f t="shared" si="8"/>
        <v>0</v>
      </c>
      <c r="M97" s="236">
        <f>IF(AND(K97=0,SUM(G97:J97)=0),0,IF(AND(K97=0,SUM(G97:J97)=QuestionsSales),ROUND(L97/SUM(G97:J97),1),""))</f>
        <v>0</v>
      </c>
      <c r="N97" s="254">
        <f>IF(K97=0,L97/PointsSales,"")</f>
        <v>0</v>
      </c>
      <c r="Q97" s="257">
        <f>IF(K97&lt;&gt;0,QuestionsSales-K97,IF(AND(K97=0,SUM(G97:J97)=QuestionsSales),0,QuestionsSales-K97))</f>
        <v>17</v>
      </c>
      <c r="R97" s="257"/>
      <c r="S97" s="185"/>
      <c r="T97" s="185"/>
      <c r="U97" s="274">
        <f>ABS(IF(SUM(G97:J97)=0,0,QuestionsSales-SUM(G97:J97)))</f>
        <v>0</v>
      </c>
      <c r="V97" s="185"/>
      <c r="W97" s="185"/>
      <c r="X97" s="185"/>
    </row>
    <row r="98" spans="3:24" x14ac:dyDescent="0.25">
      <c r="C98" s="10" t="s">
        <v>248</v>
      </c>
      <c r="D98" s="11"/>
      <c r="E98" s="239">
        <f>QuestionsOperations</f>
        <v>25</v>
      </c>
      <c r="F98" s="12">
        <f>PointsOperations</f>
        <v>100</v>
      </c>
      <c r="G98" s="156"/>
      <c r="H98" s="157"/>
      <c r="I98" s="157"/>
      <c r="J98" s="158"/>
      <c r="K98" s="241">
        <f>IF(SUM(G98:J98)=0,0,QuestionsOperations-SUM(G98:J98))</f>
        <v>0</v>
      </c>
      <c r="L98" s="12">
        <f t="shared" si="8"/>
        <v>0</v>
      </c>
      <c r="M98" s="236">
        <f>IF(AND(K98=0,SUM(G98:J98)=0),0,IF(AND(K98=0,SUM(G98:J98)=QuestionsOperations),ROUND(L98/SUM(G98:J98),1),""))</f>
        <v>0</v>
      </c>
      <c r="N98" s="254">
        <f>IF(K98=0,L98/PointsOperations,"")</f>
        <v>0</v>
      </c>
      <c r="Q98" s="257">
        <f>IF(K98&lt;&gt;0,QuestionsOperations-K98,IF(AND(K98=0,SUM(G98:J98)=QuestionsOperations),0,QuestionsOperations-K98))</f>
        <v>25</v>
      </c>
      <c r="R98" s="257"/>
      <c r="S98" s="185"/>
      <c r="T98" s="185"/>
      <c r="U98" s="185"/>
      <c r="V98" s="274">
        <f>ABS(IF(SUM(G98:J98)=0,0,QuestionsOperations-SUM(G98:J98)))</f>
        <v>0</v>
      </c>
      <c r="W98" s="185"/>
      <c r="X98" s="185"/>
    </row>
    <row r="99" spans="3:24" x14ac:dyDescent="0.25">
      <c r="C99" s="10" t="s">
        <v>15</v>
      </c>
      <c r="D99" s="11"/>
      <c r="E99" s="239">
        <f>QuestionsWarehouse</f>
        <v>18</v>
      </c>
      <c r="F99" s="12">
        <f>PointsWarehouse</f>
        <v>72</v>
      </c>
      <c r="G99" s="156"/>
      <c r="H99" s="157"/>
      <c r="I99" s="157"/>
      <c r="J99" s="158"/>
      <c r="K99" s="241">
        <f>IF(SUM(G99:J99)=0,0,QuestionsWarehouse-SUM(G99:J99))</f>
        <v>0</v>
      </c>
      <c r="L99" s="12">
        <f t="shared" si="8"/>
        <v>0</v>
      </c>
      <c r="M99" s="236">
        <f>IF(AND(K99=0,SUM(G99:J99)=0),0,IF(AND(K99=0,SUM(G99:J99)=QuestionsWarehouse),ROUND(L99/SUM(G99:J99),1),""))</f>
        <v>0</v>
      </c>
      <c r="N99" s="254">
        <f>IF(K99=0,L99/PointsWarehouse,"")</f>
        <v>0</v>
      </c>
      <c r="Q99" s="257">
        <f>IF(K99&lt;&gt;0,QuestionsWarehouse-K99,IF(AND(K99=0,SUM(G99:J99)=QuestionsWarehouse),0,QuestionsWarehouse-K99))</f>
        <v>18</v>
      </c>
      <c r="R99" s="257"/>
      <c r="S99" s="185"/>
      <c r="T99" s="185"/>
      <c r="U99" s="185"/>
      <c r="V99" s="185"/>
      <c r="W99" s="274">
        <f>ABS(IF(SUM(G99:J99)=0,0,QuestionsWarehouse-SUM(G99:J99)))</f>
        <v>0</v>
      </c>
      <c r="X99" s="185"/>
    </row>
    <row r="100" spans="3:24" x14ac:dyDescent="0.25">
      <c r="C100" s="10" t="s">
        <v>6</v>
      </c>
      <c r="D100" s="11"/>
      <c r="E100" s="239">
        <f>QuestionsRiskManagement</f>
        <v>16</v>
      </c>
      <c r="F100" s="12">
        <f>PointsRiskManagement</f>
        <v>64</v>
      </c>
      <c r="G100" s="156"/>
      <c r="H100" s="157"/>
      <c r="I100" s="157"/>
      <c r="J100" s="158"/>
      <c r="K100" s="241">
        <f>IF(SUM(G100:J100)=0,0,QuestionsRiskManagement-SUM(G100:J100))</f>
        <v>0</v>
      </c>
      <c r="L100" s="12">
        <f t="shared" si="8"/>
        <v>0</v>
      </c>
      <c r="M100" s="236">
        <f>IF(AND(K100=0,SUM(G100:J100)=0),0,IF(AND(K100=0,SUM(G100:J100)=QuestionsRiskManagement),ROUND(L100/SUM(G100:J100),1),""))</f>
        <v>0</v>
      </c>
      <c r="N100" s="254">
        <f>IF(K100=0,L100/PointsRiskManagement,"")</f>
        <v>0</v>
      </c>
      <c r="Q100" s="257">
        <f>IF(K100&lt;&gt;0,QuestionsRiskManagement-K100,IF(AND(K100=0,SUM(G100:J100)=QuestionsRiskManagement),0,QuestionsRiskManagement-K100))</f>
        <v>16</v>
      </c>
      <c r="R100" s="257"/>
      <c r="S100" s="185"/>
      <c r="T100" s="185"/>
      <c r="U100" s="185"/>
      <c r="V100" s="185"/>
      <c r="W100" s="185"/>
      <c r="X100" s="274">
        <f>ABS(IF(SUM(G100:J100)=0,0,QuestionsRiskManagement-SUM(G100:J100)))</f>
        <v>0</v>
      </c>
    </row>
    <row r="101" spans="3:24" x14ac:dyDescent="0.25">
      <c r="C101" s="27" t="s">
        <v>65</v>
      </c>
      <c r="D101" s="28"/>
      <c r="E101" s="240">
        <f>SUM(E95:E100)</f>
        <v>124</v>
      </c>
      <c r="F101" s="29">
        <f>PointsTotal</f>
        <v>496</v>
      </c>
      <c r="G101" s="30">
        <f>SUM(G95:G100)</f>
        <v>0</v>
      </c>
      <c r="H101" s="31">
        <f>SUM(H95:H100)</f>
        <v>0</v>
      </c>
      <c r="I101" s="31">
        <f>SUM(I95:I100)</f>
        <v>0</v>
      </c>
      <c r="J101" s="32">
        <f>SUM(J95:J100)</f>
        <v>0</v>
      </c>
      <c r="K101" s="242">
        <f>ABS(K95)+ABS(K96)+ABS(K97)+ABS(K98)+ABS(K99)+ABS(K100)</f>
        <v>0</v>
      </c>
      <c r="L101" s="29">
        <f t="shared" si="8"/>
        <v>0</v>
      </c>
      <c r="M101" s="29">
        <f>IF(AND(K101=0,SUM(G101:J101)=0),0,IF(AND(K101=0,SUM(G101:J101)=E101),ROUND(L101/SUM(G101:J101),1),""))</f>
        <v>0</v>
      </c>
      <c r="N101" s="254">
        <f>IF(K101=0,L101/PointsTotal,"")</f>
        <v>0</v>
      </c>
      <c r="R101" s="257">
        <f>SUM(Q95:Q100)-E101</f>
        <v>0</v>
      </c>
      <c r="S101" s="185"/>
      <c r="T101" s="185"/>
      <c r="U101" s="185"/>
      <c r="V101" s="185"/>
      <c r="W101" s="185"/>
      <c r="X101" s="185"/>
    </row>
    <row r="102" spans="3:24" x14ac:dyDescent="0.25">
      <c r="N102" s="243"/>
      <c r="S102" s="269"/>
      <c r="T102" s="262"/>
      <c r="U102" s="262"/>
      <c r="V102" s="262"/>
      <c r="W102" s="262"/>
      <c r="X102" s="270"/>
    </row>
    <row r="103" spans="3:24" x14ac:dyDescent="0.25">
      <c r="C103" s="550" t="s">
        <v>82</v>
      </c>
      <c r="D103" s="551"/>
      <c r="E103" s="551"/>
      <c r="F103" s="551"/>
      <c r="G103" s="377" t="s">
        <v>217</v>
      </c>
      <c r="H103" s="377"/>
      <c r="I103" s="377"/>
      <c r="J103" s="377"/>
      <c r="K103" s="279"/>
      <c r="L103" s="1"/>
      <c r="M103" s="1"/>
      <c r="N103" s="255"/>
      <c r="S103" s="263"/>
      <c r="T103" s="260"/>
      <c r="U103" s="260"/>
      <c r="V103" s="260"/>
      <c r="W103" s="260"/>
      <c r="X103" s="271"/>
    </row>
    <row r="104" spans="3:24" ht="7.5" customHeight="1" x14ac:dyDescent="0.25">
      <c r="C104" s="3"/>
      <c r="D104" s="1"/>
      <c r="E104" s="1"/>
      <c r="F104" s="1"/>
      <c r="G104" s="306"/>
      <c r="H104" s="307"/>
      <c r="I104" s="307"/>
      <c r="J104" s="307"/>
      <c r="K104" s="1"/>
      <c r="L104" s="1"/>
      <c r="M104" s="1"/>
      <c r="N104" s="255"/>
      <c r="S104" s="263"/>
      <c r="T104" s="260"/>
      <c r="U104" s="260"/>
      <c r="V104" s="260"/>
      <c r="W104" s="260"/>
      <c r="X104" s="271"/>
    </row>
    <row r="105" spans="3:24" ht="15" customHeight="1" x14ac:dyDescent="0.25">
      <c r="C105" s="4"/>
      <c r="D105" s="5"/>
      <c r="E105" s="237" t="s">
        <v>180</v>
      </c>
      <c r="F105" s="6" t="s">
        <v>17</v>
      </c>
      <c r="G105" s="373" t="s">
        <v>20</v>
      </c>
      <c r="H105" s="373"/>
      <c r="I105" s="374"/>
      <c r="J105" s="375"/>
      <c r="K105" s="33" t="s">
        <v>135</v>
      </c>
      <c r="L105" s="6" t="s">
        <v>16</v>
      </c>
      <c r="M105" s="6" t="s">
        <v>61</v>
      </c>
      <c r="N105" s="538" t="s">
        <v>226</v>
      </c>
      <c r="S105" s="263"/>
      <c r="T105" s="260"/>
      <c r="U105" s="260"/>
      <c r="V105" s="260"/>
      <c r="W105" s="260"/>
      <c r="X105" s="271"/>
    </row>
    <row r="106" spans="3:24" x14ac:dyDescent="0.25">
      <c r="C106" s="7"/>
      <c r="D106" s="8"/>
      <c r="E106" s="238" t="s">
        <v>179</v>
      </c>
      <c r="F106" s="9" t="s">
        <v>18</v>
      </c>
      <c r="G106" s="372">
        <v>1</v>
      </c>
      <c r="H106" s="318">
        <v>2</v>
      </c>
      <c r="I106" s="318">
        <v>3</v>
      </c>
      <c r="J106" s="319">
        <v>4</v>
      </c>
      <c r="K106" s="34" t="s">
        <v>136</v>
      </c>
      <c r="L106" s="9" t="s">
        <v>18</v>
      </c>
      <c r="M106" s="9" t="s">
        <v>10</v>
      </c>
      <c r="N106" s="539"/>
      <c r="S106" s="264"/>
      <c r="T106" s="265"/>
      <c r="U106" s="265"/>
      <c r="V106" s="265"/>
      <c r="W106" s="265"/>
      <c r="X106" s="272"/>
    </row>
    <row r="107" spans="3:24" x14ac:dyDescent="0.25">
      <c r="C107" s="10" t="s">
        <v>3</v>
      </c>
      <c r="D107" s="11"/>
      <c r="E107" s="239">
        <f>QuestionsManagement</f>
        <v>30</v>
      </c>
      <c r="F107" s="12">
        <f>PointsManagement</f>
        <v>120</v>
      </c>
      <c r="G107" s="156"/>
      <c r="H107" s="157"/>
      <c r="I107" s="157"/>
      <c r="J107" s="158"/>
      <c r="K107" s="241">
        <f>IF(SUM(G107:J107)=0,0,QuestionsManagement-SUM(G107:J107))</f>
        <v>0</v>
      </c>
      <c r="L107" s="12">
        <f t="shared" ref="L107:L113" si="9">IF(K107=0,(G107*1)+(H107*2)+(I107*3)+(J107*4),"")</f>
        <v>0</v>
      </c>
      <c r="M107" s="236">
        <f>IF(AND(K107=0,SUM(G107:J107)=0),0,IF(AND(K107=0,SUM(G107:J107)=QuestionsManagement),ROUND(L107/SUM(G107:J107),1),""))</f>
        <v>0</v>
      </c>
      <c r="N107" s="254">
        <f>IF(K107=0,L107/PointsManagement,"")</f>
        <v>0</v>
      </c>
      <c r="Q107" s="257">
        <f>IF(K107&lt;&gt;0,QuestionsManagement-K107,IF(AND(K107=0,SUM(G107:J107)=QuestionsManagement),0,QuestionsManagement-K107))</f>
        <v>30</v>
      </c>
      <c r="R107" s="257"/>
      <c r="S107" s="274">
        <f>ABS(IF(SUM(G107:J107)=0,0,QuestionsManagement-SUM(G107:J107)))</f>
        <v>0</v>
      </c>
      <c r="T107" s="185"/>
      <c r="U107" s="185"/>
      <c r="V107" s="185"/>
      <c r="W107" s="185"/>
      <c r="X107" s="185"/>
    </row>
    <row r="108" spans="3:24" x14ac:dyDescent="0.25">
      <c r="C108" s="10" t="s">
        <v>4</v>
      </c>
      <c r="D108" s="11"/>
      <c r="E108" s="239">
        <f>QuestionsFinance</f>
        <v>18</v>
      </c>
      <c r="F108" s="12">
        <f>PointsFinance</f>
        <v>72</v>
      </c>
      <c r="G108" s="156"/>
      <c r="H108" s="157"/>
      <c r="I108" s="157"/>
      <c r="J108" s="158"/>
      <c r="K108" s="276">
        <f>IF(SUM(G108:J108)=0,0,QuestionsFinance-SUM(G108:J108))</f>
        <v>0</v>
      </c>
      <c r="L108" s="12">
        <f t="shared" si="9"/>
        <v>0</v>
      </c>
      <c r="M108" s="236">
        <f>IF(AND(K108=0,SUM(G108:J108)=0),0,IF(AND(K108=0,SUM(G108:J108)=QuestionsFinance),ROUND(L108/SUM(G108:J108),1),""))</f>
        <v>0</v>
      </c>
      <c r="N108" s="254">
        <f>IF(K108=0,L108/PointsFinance,"")</f>
        <v>0</v>
      </c>
      <c r="Q108" s="257">
        <f>IF(K108&lt;&gt;0,QuestionsFinance-K108,IF(AND(K108=0,SUM(G108:J108)=QuestionsFinance),0,QuestionsFinance-K108))</f>
        <v>18</v>
      </c>
      <c r="R108" s="257"/>
      <c r="S108" s="185"/>
      <c r="T108" s="274">
        <f>ABS(IF(SUM(G108:J108)=0,0,QuestionsFinance-SUM(G108:J108)))</f>
        <v>0</v>
      </c>
      <c r="U108" s="185"/>
      <c r="V108" s="185"/>
      <c r="W108" s="185"/>
      <c r="X108" s="185"/>
    </row>
    <row r="109" spans="3:24" x14ac:dyDescent="0.25">
      <c r="C109" s="10" t="s">
        <v>5</v>
      </c>
      <c r="D109" s="11"/>
      <c r="E109" s="239">
        <f>QuestionsSales</f>
        <v>17</v>
      </c>
      <c r="F109" s="12">
        <f>PointsSales</f>
        <v>68</v>
      </c>
      <c r="G109" s="156"/>
      <c r="H109" s="157"/>
      <c r="I109" s="157"/>
      <c r="J109" s="158"/>
      <c r="K109" s="241">
        <f>IF(SUM(G109:J109)=0,0,QuestionsSales-SUM(G109:J109))</f>
        <v>0</v>
      </c>
      <c r="L109" s="12">
        <f t="shared" si="9"/>
        <v>0</v>
      </c>
      <c r="M109" s="236">
        <f>IF(AND(K109=0,SUM(G109:J109)=0),0,IF(AND(K109=0,SUM(G109:J109)=QuestionsSales),ROUND(L109/SUM(G109:J109),1),""))</f>
        <v>0</v>
      </c>
      <c r="N109" s="254">
        <f>IF(K109=0,L109/PointsSales,"")</f>
        <v>0</v>
      </c>
      <c r="Q109" s="257">
        <f>IF(K109&lt;&gt;0,QuestionsSales-K109,IF(AND(K109=0,SUM(G109:J109)=QuestionsSales),0,QuestionsSales-K109))</f>
        <v>17</v>
      </c>
      <c r="R109" s="257"/>
      <c r="S109" s="185"/>
      <c r="T109" s="185"/>
      <c r="U109" s="274">
        <f>ABS(IF(SUM(G109:J109)=0,0,QuestionsSales-SUM(G109:J109)))</f>
        <v>0</v>
      </c>
      <c r="V109" s="185"/>
      <c r="W109" s="185"/>
      <c r="X109" s="185"/>
    </row>
    <row r="110" spans="3:24" x14ac:dyDescent="0.25">
      <c r="C110" s="10" t="s">
        <v>248</v>
      </c>
      <c r="D110" s="11"/>
      <c r="E110" s="239">
        <f>QuestionsOperations</f>
        <v>25</v>
      </c>
      <c r="F110" s="12">
        <f>PointsOperations</f>
        <v>100</v>
      </c>
      <c r="G110" s="156"/>
      <c r="H110" s="157"/>
      <c r="I110" s="157"/>
      <c r="J110" s="158"/>
      <c r="K110" s="241">
        <f>IF(SUM(G110:J110)=0,0,QuestionsOperations-SUM(G110:J110))</f>
        <v>0</v>
      </c>
      <c r="L110" s="12">
        <f t="shared" si="9"/>
        <v>0</v>
      </c>
      <c r="M110" s="236">
        <f>IF(AND(K110=0,SUM(G110:J110)=0),0,IF(AND(K110=0,SUM(G110:J110)=QuestionsOperations),ROUND(L110/SUM(G110:J110),1),""))</f>
        <v>0</v>
      </c>
      <c r="N110" s="254">
        <f>IF(K110=0,L110/PointsOperations,"")</f>
        <v>0</v>
      </c>
      <c r="Q110" s="257">
        <f>IF(K110&lt;&gt;0,QuestionsOperations-K110,IF(AND(K110=0,SUM(G110:J110)=QuestionsOperations),0,QuestionsOperations-K110))</f>
        <v>25</v>
      </c>
      <c r="R110" s="257"/>
      <c r="S110" s="185"/>
      <c r="T110" s="185"/>
      <c r="U110" s="185"/>
      <c r="V110" s="274">
        <f>ABS(IF(SUM(G110:J110)=0,0,QuestionsOperations-SUM(G110:J110)))</f>
        <v>0</v>
      </c>
      <c r="W110" s="185"/>
      <c r="X110" s="185"/>
    </row>
    <row r="111" spans="3:24" x14ac:dyDescent="0.25">
      <c r="C111" s="10" t="s">
        <v>15</v>
      </c>
      <c r="D111" s="11"/>
      <c r="E111" s="239">
        <f>QuestionsWarehouse</f>
        <v>18</v>
      </c>
      <c r="F111" s="12">
        <f>PointsWarehouse</f>
        <v>72</v>
      </c>
      <c r="G111" s="156"/>
      <c r="H111" s="157"/>
      <c r="I111" s="157"/>
      <c r="J111" s="158"/>
      <c r="K111" s="241">
        <f>IF(SUM(G111:J111)=0,0,QuestionsWarehouse-SUM(G111:J111))</f>
        <v>0</v>
      </c>
      <c r="L111" s="12">
        <f t="shared" si="9"/>
        <v>0</v>
      </c>
      <c r="M111" s="236">
        <f>IF(AND(K111=0,SUM(G111:J111)=0),0,IF(AND(K111=0,SUM(G111:J111)=QuestionsWarehouse),ROUND(L111/SUM(G111:J111),1),""))</f>
        <v>0</v>
      </c>
      <c r="N111" s="254">
        <f>IF(K111=0,L111/PointsWarehouse,"")</f>
        <v>0</v>
      </c>
      <c r="Q111" s="257">
        <f>IF(K111&lt;&gt;0,QuestionsWarehouse-K111,IF(AND(K111=0,SUM(G111:J111)=QuestionsWarehouse),0,QuestionsWarehouse-K111))</f>
        <v>18</v>
      </c>
      <c r="R111" s="257"/>
      <c r="S111" s="185"/>
      <c r="T111" s="185"/>
      <c r="U111" s="185"/>
      <c r="V111" s="185"/>
      <c r="W111" s="274">
        <f>ABS(IF(SUM(G111:J111)=0,0,QuestionsWarehouse-SUM(G111:J111)))</f>
        <v>0</v>
      </c>
      <c r="X111" s="185"/>
    </row>
    <row r="112" spans="3:24" x14ac:dyDescent="0.25">
      <c r="C112" s="10" t="s">
        <v>6</v>
      </c>
      <c r="D112" s="11"/>
      <c r="E112" s="239">
        <f>QuestionsRiskManagement</f>
        <v>16</v>
      </c>
      <c r="F112" s="12">
        <f>PointsRiskManagement</f>
        <v>64</v>
      </c>
      <c r="G112" s="156"/>
      <c r="H112" s="157"/>
      <c r="I112" s="157"/>
      <c r="J112" s="158"/>
      <c r="K112" s="241">
        <f>IF(SUM(G112:J112)=0,0,QuestionsRiskManagement-SUM(G112:J112))</f>
        <v>0</v>
      </c>
      <c r="L112" s="12">
        <f t="shared" si="9"/>
        <v>0</v>
      </c>
      <c r="M112" s="236">
        <f>IF(AND(K112=0,SUM(G112:J112)=0),0,IF(AND(K112=0,SUM(G112:J112)=QuestionsRiskManagement),ROUND(L112/SUM(G112:J112),1),""))</f>
        <v>0</v>
      </c>
      <c r="N112" s="254">
        <f>IF(K112=0,L112/PointsRiskManagement,"")</f>
        <v>0</v>
      </c>
      <c r="Q112" s="257">
        <f>IF(K112&lt;&gt;0,QuestionsRiskManagement-K112,IF(AND(K112=0,SUM(G112:J112)=QuestionsRiskManagement),0,QuestionsRiskManagement-K112))</f>
        <v>16</v>
      </c>
      <c r="R112" s="257"/>
      <c r="S112" s="185"/>
      <c r="T112" s="185"/>
      <c r="U112" s="185"/>
      <c r="V112" s="185"/>
      <c r="W112" s="185"/>
      <c r="X112" s="274">
        <f>ABS(IF(SUM(G112:J112)=0,0,QuestionsRiskManagement-SUM(G112:J112)))</f>
        <v>0</v>
      </c>
    </row>
    <row r="113" spans="3:24" x14ac:dyDescent="0.25">
      <c r="C113" s="27" t="s">
        <v>65</v>
      </c>
      <c r="D113" s="28"/>
      <c r="E113" s="240">
        <f>SUM(E107:E112)</f>
        <v>124</v>
      </c>
      <c r="F113" s="29">
        <f>PointsTotal</f>
        <v>496</v>
      </c>
      <c r="G113" s="30">
        <f>SUM(G107:G112)</f>
        <v>0</v>
      </c>
      <c r="H113" s="31">
        <f>SUM(H107:H112)</f>
        <v>0</v>
      </c>
      <c r="I113" s="31">
        <f>SUM(I107:I112)</f>
        <v>0</v>
      </c>
      <c r="J113" s="32">
        <f>SUM(J107:J112)</f>
        <v>0</v>
      </c>
      <c r="K113" s="242">
        <f>ABS(K107)+ABS(K108)+ABS(K109)+ABS(K110)+ABS(K111)+ABS(K112)</f>
        <v>0</v>
      </c>
      <c r="L113" s="29">
        <f t="shared" si="9"/>
        <v>0</v>
      </c>
      <c r="M113" s="29">
        <f>IF(AND(K113=0,SUM(G113:J113)=0),0,IF(AND(K113=0,SUM(G113:J113)=E113),ROUND(L113/SUM(G113:J113),1),""))</f>
        <v>0</v>
      </c>
      <c r="N113" s="254">
        <f>IF(K113=0,L113/PointsTotal,"")</f>
        <v>0</v>
      </c>
      <c r="R113" s="257">
        <f>SUM(Q107:Q112)-E113</f>
        <v>0</v>
      </c>
      <c r="S113" s="185"/>
      <c r="T113" s="185"/>
      <c r="U113" s="185"/>
      <c r="V113" s="185"/>
      <c r="W113" s="185"/>
      <c r="X113" s="185"/>
    </row>
    <row r="114" spans="3:24" x14ac:dyDescent="0.25">
      <c r="N114" s="243"/>
      <c r="S114" s="269"/>
      <c r="T114" s="262"/>
      <c r="U114" s="262"/>
      <c r="V114" s="262"/>
      <c r="W114" s="262"/>
      <c r="X114" s="270"/>
    </row>
    <row r="115" spans="3:24" x14ac:dyDescent="0.25">
      <c r="C115" s="550" t="s">
        <v>81</v>
      </c>
      <c r="D115" s="551"/>
      <c r="E115" s="551"/>
      <c r="F115" s="551"/>
      <c r="G115" s="377" t="s">
        <v>218</v>
      </c>
      <c r="H115" s="377"/>
      <c r="I115" s="377"/>
      <c r="J115" s="377"/>
      <c r="K115" s="279"/>
      <c r="L115" s="1"/>
      <c r="M115" s="1"/>
      <c r="N115" s="255"/>
      <c r="S115" s="263"/>
      <c r="T115" s="260"/>
      <c r="U115" s="260"/>
      <c r="V115" s="260"/>
      <c r="W115" s="260"/>
      <c r="X115" s="271"/>
    </row>
    <row r="116" spans="3:24" ht="7.5" customHeight="1" x14ac:dyDescent="0.25">
      <c r="C116" s="3"/>
      <c r="D116" s="1"/>
      <c r="E116" s="1"/>
      <c r="F116" s="1"/>
      <c r="G116" s="306"/>
      <c r="H116" s="307"/>
      <c r="I116" s="307"/>
      <c r="J116" s="307"/>
      <c r="K116" s="1"/>
      <c r="L116" s="1"/>
      <c r="M116" s="1"/>
      <c r="N116" s="255"/>
      <c r="S116" s="263"/>
      <c r="T116" s="260"/>
      <c r="U116" s="260"/>
      <c r="V116" s="260"/>
      <c r="W116" s="260"/>
      <c r="X116" s="271"/>
    </row>
    <row r="117" spans="3:24" ht="15" customHeight="1" x14ac:dyDescent="0.25">
      <c r="C117" s="4"/>
      <c r="D117" s="5"/>
      <c r="E117" s="237" t="s">
        <v>180</v>
      </c>
      <c r="F117" s="6" t="s">
        <v>17</v>
      </c>
      <c r="G117" s="373" t="s">
        <v>20</v>
      </c>
      <c r="H117" s="373"/>
      <c r="I117" s="374"/>
      <c r="J117" s="375"/>
      <c r="K117" s="33" t="s">
        <v>135</v>
      </c>
      <c r="L117" s="6" t="s">
        <v>16</v>
      </c>
      <c r="M117" s="6" t="s">
        <v>61</v>
      </c>
      <c r="N117" s="538" t="s">
        <v>226</v>
      </c>
      <c r="S117" s="263"/>
      <c r="T117" s="260"/>
      <c r="U117" s="260"/>
      <c r="V117" s="260"/>
      <c r="W117" s="260"/>
      <c r="X117" s="271"/>
    </row>
    <row r="118" spans="3:24" x14ac:dyDescent="0.25">
      <c r="C118" s="7"/>
      <c r="D118" s="8"/>
      <c r="E118" s="238" t="s">
        <v>179</v>
      </c>
      <c r="F118" s="9" t="s">
        <v>18</v>
      </c>
      <c r="G118" s="372">
        <v>1</v>
      </c>
      <c r="H118" s="318">
        <v>2</v>
      </c>
      <c r="I118" s="318">
        <v>3</v>
      </c>
      <c r="J118" s="319">
        <v>4</v>
      </c>
      <c r="K118" s="34" t="s">
        <v>136</v>
      </c>
      <c r="L118" s="9" t="s">
        <v>18</v>
      </c>
      <c r="M118" s="9" t="s">
        <v>10</v>
      </c>
      <c r="N118" s="539"/>
      <c r="S118" s="264"/>
      <c r="T118" s="265"/>
      <c r="U118" s="265"/>
      <c r="V118" s="265"/>
      <c r="W118" s="265"/>
      <c r="X118" s="272"/>
    </row>
    <row r="119" spans="3:24" x14ac:dyDescent="0.25">
      <c r="C119" s="10" t="s">
        <v>3</v>
      </c>
      <c r="D119" s="11"/>
      <c r="E119" s="239">
        <f>QuestionsManagement</f>
        <v>30</v>
      </c>
      <c r="F119" s="12">
        <f>PointsManagement</f>
        <v>120</v>
      </c>
      <c r="G119" s="156"/>
      <c r="H119" s="157"/>
      <c r="I119" s="157"/>
      <c r="J119" s="158"/>
      <c r="K119" s="241">
        <f>IF(SUM(G119:J119)=0,0,QuestionsManagement-SUM(G119:J119))</f>
        <v>0</v>
      </c>
      <c r="L119" s="12">
        <f t="shared" ref="L119:L125" si="10">IF(K119=0,(G119*1)+(H119*2)+(I119*3)+(J119*4),"")</f>
        <v>0</v>
      </c>
      <c r="M119" s="236">
        <f>IF(AND(K119=0,SUM(G119:J119)=0),0,IF(AND(K119=0,SUM(G119:J119)=QuestionsManagement),ROUND(L119/SUM(G119:J119),1),""))</f>
        <v>0</v>
      </c>
      <c r="N119" s="254">
        <f>IF(K119=0,L119/PointsManagement,"")</f>
        <v>0</v>
      </c>
      <c r="Q119" s="257">
        <f>IF(K119&lt;&gt;0,QuestionsManagement-K119,IF(AND(K119=0,SUM(G119:J119)=QuestionsManagement),0,QuestionsManagement-K119))</f>
        <v>30</v>
      </c>
      <c r="R119" s="257"/>
      <c r="S119" s="274">
        <f>ABS(IF(SUM(G119:J119)=0,0,QuestionsManagement-SUM(G119:J119)))</f>
        <v>0</v>
      </c>
      <c r="T119" s="185"/>
      <c r="U119" s="185"/>
      <c r="V119" s="185"/>
      <c r="W119" s="185"/>
      <c r="X119" s="185"/>
    </row>
    <row r="120" spans="3:24" x14ac:dyDescent="0.25">
      <c r="C120" s="10" t="s">
        <v>4</v>
      </c>
      <c r="D120" s="11"/>
      <c r="E120" s="239">
        <f>QuestionsFinance</f>
        <v>18</v>
      </c>
      <c r="F120" s="12">
        <f>PointsFinance</f>
        <v>72</v>
      </c>
      <c r="G120" s="156"/>
      <c r="H120" s="157"/>
      <c r="I120" s="157"/>
      <c r="J120" s="158"/>
      <c r="K120" s="276">
        <f>IF(SUM(G120:J120)=0,0,QuestionsFinance-SUM(G120:J120))</f>
        <v>0</v>
      </c>
      <c r="L120" s="12">
        <f t="shared" si="10"/>
        <v>0</v>
      </c>
      <c r="M120" s="236">
        <f>IF(AND(K120=0,SUM(G120:J120)=0),0,IF(AND(K120=0,SUM(G120:J120)=QuestionsFinance),ROUND(L120/SUM(G120:J120),1),""))</f>
        <v>0</v>
      </c>
      <c r="N120" s="254">
        <f>IF(K120=0,L120/PointsFinance,"")</f>
        <v>0</v>
      </c>
      <c r="Q120" s="257">
        <f>IF(K120&lt;&gt;0,QuestionsFinance-K120,IF(AND(K120=0,SUM(G120:J120)=QuestionsFinance),0,QuestionsFinance-K120))</f>
        <v>18</v>
      </c>
      <c r="R120" s="257"/>
      <c r="S120" s="185"/>
      <c r="T120" s="274">
        <f>ABS(IF(SUM(G120:J120)=0,0,QuestionsFinance-SUM(G120:J120)))</f>
        <v>0</v>
      </c>
      <c r="U120" s="185"/>
      <c r="V120" s="185"/>
      <c r="W120" s="185"/>
      <c r="X120" s="185"/>
    </row>
    <row r="121" spans="3:24" x14ac:dyDescent="0.25">
      <c r="C121" s="10" t="s">
        <v>5</v>
      </c>
      <c r="D121" s="11"/>
      <c r="E121" s="239">
        <f>QuestionsSales</f>
        <v>17</v>
      </c>
      <c r="F121" s="12">
        <f>PointsSales</f>
        <v>68</v>
      </c>
      <c r="G121" s="156"/>
      <c r="H121" s="157"/>
      <c r="I121" s="157"/>
      <c r="J121" s="158"/>
      <c r="K121" s="241">
        <f>IF(SUM(G121:J121)=0,0,QuestionsSales-SUM(G121:J121))</f>
        <v>0</v>
      </c>
      <c r="L121" s="12">
        <f t="shared" si="10"/>
        <v>0</v>
      </c>
      <c r="M121" s="236">
        <f>IF(AND(K121=0,SUM(G121:J121)=0),0,IF(AND(K121=0,SUM(G121:J121)=QuestionsSales),ROUND(L121/SUM(G121:J121),1),""))</f>
        <v>0</v>
      </c>
      <c r="N121" s="254">
        <f>IF(K121=0,L121/PointsSales,"")</f>
        <v>0</v>
      </c>
      <c r="Q121" s="257">
        <f>IF(K121&lt;&gt;0,QuestionsSales-K121,IF(AND(K121=0,SUM(G121:J121)=QuestionsSales),0,QuestionsSales-K121))</f>
        <v>17</v>
      </c>
      <c r="R121" s="257"/>
      <c r="S121" s="185"/>
      <c r="T121" s="185"/>
      <c r="U121" s="274">
        <f>ABS(IF(SUM(G121:J121)=0,0,QuestionsSales-SUM(G121:J121)))</f>
        <v>0</v>
      </c>
      <c r="V121" s="185"/>
      <c r="W121" s="185"/>
      <c r="X121" s="185"/>
    </row>
    <row r="122" spans="3:24" x14ac:dyDescent="0.25">
      <c r="C122" s="10" t="s">
        <v>248</v>
      </c>
      <c r="D122" s="11"/>
      <c r="E122" s="239">
        <f>QuestionsOperations</f>
        <v>25</v>
      </c>
      <c r="F122" s="12">
        <f>PointsOperations</f>
        <v>100</v>
      </c>
      <c r="G122" s="156"/>
      <c r="H122" s="157"/>
      <c r="I122" s="157"/>
      <c r="J122" s="158"/>
      <c r="K122" s="241">
        <f>IF(SUM(G122:J122)=0,0,QuestionsOperations-SUM(G122:J122))</f>
        <v>0</v>
      </c>
      <c r="L122" s="12">
        <f t="shared" si="10"/>
        <v>0</v>
      </c>
      <c r="M122" s="236">
        <f>IF(AND(K122=0,SUM(G122:J122)=0),0,IF(AND(K122=0,SUM(G122:J122)=QuestionsOperations),ROUND(L122/SUM(G122:J122),1),""))</f>
        <v>0</v>
      </c>
      <c r="N122" s="254">
        <f>IF(K122=0,L122/PointsOperations,"")</f>
        <v>0</v>
      </c>
      <c r="Q122" s="257">
        <f>IF(K122&lt;&gt;0,QuestionsOperations-K122,IF(AND(K122=0,SUM(G122:J122)=QuestionsOperations),0,QuestionsOperations-K122))</f>
        <v>25</v>
      </c>
      <c r="R122" s="257"/>
      <c r="S122" s="185"/>
      <c r="T122" s="185"/>
      <c r="U122" s="185"/>
      <c r="V122" s="274">
        <f>ABS(IF(SUM(G122:J122)=0,0,QuestionsOperations-SUM(G122:J122)))</f>
        <v>0</v>
      </c>
      <c r="W122" s="185"/>
      <c r="X122" s="185"/>
    </row>
    <row r="123" spans="3:24" x14ac:dyDescent="0.25">
      <c r="C123" s="10" t="s">
        <v>15</v>
      </c>
      <c r="D123" s="11"/>
      <c r="E123" s="239">
        <f>QuestionsWarehouse</f>
        <v>18</v>
      </c>
      <c r="F123" s="12">
        <f>PointsWarehouse</f>
        <v>72</v>
      </c>
      <c r="G123" s="156"/>
      <c r="H123" s="157"/>
      <c r="I123" s="157"/>
      <c r="J123" s="158"/>
      <c r="K123" s="241">
        <f>IF(SUM(G123:J123)=0,0,QuestionsWarehouse-SUM(G123:J123))</f>
        <v>0</v>
      </c>
      <c r="L123" s="12">
        <f t="shared" si="10"/>
        <v>0</v>
      </c>
      <c r="M123" s="236">
        <f>IF(AND(K123=0,SUM(G123:J123)=0),0,IF(AND(K123=0,SUM(G123:J123)=QuestionsWarehouse),ROUND(L123/SUM(G123:J123),1),""))</f>
        <v>0</v>
      </c>
      <c r="N123" s="254">
        <f>IF(K123=0,L123/PointsWarehouse,"")</f>
        <v>0</v>
      </c>
      <c r="Q123" s="257">
        <f>IF(K123&lt;&gt;0,QuestionsWarehouse-K123,IF(AND(K123=0,SUM(G123:J123)=QuestionsWarehouse),0,QuestionsWarehouse-K123))</f>
        <v>18</v>
      </c>
      <c r="R123" s="257"/>
      <c r="S123" s="185"/>
      <c r="T123" s="185"/>
      <c r="U123" s="185"/>
      <c r="V123" s="185"/>
      <c r="W123" s="274">
        <f>ABS(IF(SUM(G123:J123)=0,0,QuestionsWarehouse-SUM(G123:J123)))</f>
        <v>0</v>
      </c>
      <c r="X123" s="185"/>
    </row>
    <row r="124" spans="3:24" x14ac:dyDescent="0.25">
      <c r="C124" s="10" t="s">
        <v>6</v>
      </c>
      <c r="D124" s="11"/>
      <c r="E124" s="239">
        <f>QuestionsRiskManagement</f>
        <v>16</v>
      </c>
      <c r="F124" s="12">
        <f>PointsRiskManagement</f>
        <v>64</v>
      </c>
      <c r="G124" s="156"/>
      <c r="H124" s="157"/>
      <c r="I124" s="157"/>
      <c r="J124" s="158"/>
      <c r="K124" s="241">
        <f>IF(SUM(G124:J124)=0,0,QuestionsRiskManagement-SUM(G124:J124))</f>
        <v>0</v>
      </c>
      <c r="L124" s="12">
        <f t="shared" si="10"/>
        <v>0</v>
      </c>
      <c r="M124" s="236">
        <f>IF(AND(K124=0,SUM(G124:J124)=0),0,IF(AND(K124=0,SUM(G124:J124)=QuestionsRiskManagement),ROUND(L124/SUM(G124:J124),1),""))</f>
        <v>0</v>
      </c>
      <c r="N124" s="254">
        <f>IF(K124=0,L124/PointsRiskManagement,"")</f>
        <v>0</v>
      </c>
      <c r="Q124" s="257">
        <f>IF(K124&lt;&gt;0,QuestionsRiskManagement-K124,IF(AND(K124=0,SUM(G124:J124)=QuestionsRiskManagement),0,QuestionsRiskManagement-K124))</f>
        <v>16</v>
      </c>
      <c r="R124" s="257"/>
      <c r="S124" s="185"/>
      <c r="T124" s="185"/>
      <c r="U124" s="185"/>
      <c r="V124" s="185"/>
      <c r="W124" s="185"/>
      <c r="X124" s="274">
        <f>ABS(IF(SUM(G124:J124)=0,0,QuestionsRiskManagement-SUM(G124:J124)))</f>
        <v>0</v>
      </c>
    </row>
    <row r="125" spans="3:24" x14ac:dyDescent="0.25">
      <c r="C125" s="27" t="s">
        <v>65</v>
      </c>
      <c r="D125" s="28"/>
      <c r="E125" s="240">
        <f>SUM(E119:E124)</f>
        <v>124</v>
      </c>
      <c r="F125" s="29">
        <f>PointsTotal</f>
        <v>496</v>
      </c>
      <c r="G125" s="30">
        <f>SUM(G119:G124)</f>
        <v>0</v>
      </c>
      <c r="H125" s="31">
        <f>SUM(H119:H124)</f>
        <v>0</v>
      </c>
      <c r="I125" s="31">
        <f>SUM(I119:I124)</f>
        <v>0</v>
      </c>
      <c r="J125" s="32">
        <f>SUM(J119:J124)</f>
        <v>0</v>
      </c>
      <c r="K125" s="242">
        <f>ABS(K119)+ABS(K120)+ABS(K121)+ABS(K122)+ABS(K123)+ABS(K124)</f>
        <v>0</v>
      </c>
      <c r="L125" s="29">
        <f t="shared" si="10"/>
        <v>0</v>
      </c>
      <c r="M125" s="29">
        <f>IF(AND(K125=0,SUM(G125:J125)=0),0,IF(AND(K125=0,SUM(G125:J125)=E125),ROUND(L125/SUM(G125:J125),1),""))</f>
        <v>0</v>
      </c>
      <c r="N125" s="254">
        <f>IF(K125=0,L125/PointsTotal,"")</f>
        <v>0</v>
      </c>
      <c r="R125" s="257">
        <f>SUM(Q119:Q124)-E125</f>
        <v>0</v>
      </c>
      <c r="S125" s="185"/>
      <c r="T125" s="185"/>
      <c r="U125" s="185"/>
      <c r="V125" s="185"/>
      <c r="W125" s="185"/>
      <c r="X125" s="185"/>
    </row>
    <row r="126" spans="3:24" x14ac:dyDescent="0.25">
      <c r="N126" s="243"/>
      <c r="S126" s="269"/>
      <c r="T126" s="262"/>
      <c r="U126" s="262"/>
      <c r="V126" s="262"/>
      <c r="W126" s="262"/>
      <c r="X126" s="270"/>
    </row>
    <row r="127" spans="3:24" x14ac:dyDescent="0.25">
      <c r="C127" s="550" t="s">
        <v>80</v>
      </c>
      <c r="D127" s="551"/>
      <c r="E127" s="551"/>
      <c r="F127" s="551"/>
      <c r="G127" s="377" t="s">
        <v>219</v>
      </c>
      <c r="H127" s="377"/>
      <c r="I127" s="377"/>
      <c r="J127" s="377"/>
      <c r="K127" s="279"/>
      <c r="L127" s="1"/>
      <c r="M127" s="1"/>
      <c r="N127" s="255"/>
      <c r="S127" s="263"/>
      <c r="T127" s="260"/>
      <c r="U127" s="260"/>
      <c r="V127" s="260"/>
      <c r="W127" s="260"/>
      <c r="X127" s="271"/>
    </row>
    <row r="128" spans="3:24" ht="7.5" customHeight="1" x14ac:dyDescent="0.25">
      <c r="C128" s="3"/>
      <c r="D128" s="1"/>
      <c r="E128" s="1"/>
      <c r="F128" s="1"/>
      <c r="G128" s="306"/>
      <c r="H128" s="307"/>
      <c r="I128" s="307"/>
      <c r="J128" s="307"/>
      <c r="K128" s="1"/>
      <c r="L128" s="1"/>
      <c r="M128" s="1"/>
      <c r="N128" s="255"/>
      <c r="S128" s="263"/>
      <c r="T128" s="260"/>
      <c r="U128" s="260"/>
      <c r="V128" s="260"/>
      <c r="W128" s="260"/>
      <c r="X128" s="271"/>
    </row>
    <row r="129" spans="3:24" ht="15" customHeight="1" x14ac:dyDescent="0.25">
      <c r="C129" s="4"/>
      <c r="D129" s="5"/>
      <c r="E129" s="237" t="s">
        <v>180</v>
      </c>
      <c r="F129" s="6" t="s">
        <v>17</v>
      </c>
      <c r="G129" s="373" t="s">
        <v>20</v>
      </c>
      <c r="H129" s="373"/>
      <c r="I129" s="374"/>
      <c r="J129" s="375"/>
      <c r="K129" s="33" t="s">
        <v>135</v>
      </c>
      <c r="L129" s="6" t="s">
        <v>16</v>
      </c>
      <c r="M129" s="6" t="s">
        <v>61</v>
      </c>
      <c r="N129" s="538" t="s">
        <v>226</v>
      </c>
      <c r="S129" s="263"/>
      <c r="T129" s="260"/>
      <c r="U129" s="260"/>
      <c r="V129" s="260"/>
      <c r="W129" s="260"/>
      <c r="X129" s="271"/>
    </row>
    <row r="130" spans="3:24" x14ac:dyDescent="0.25">
      <c r="C130" s="7"/>
      <c r="D130" s="8"/>
      <c r="E130" s="238" t="s">
        <v>179</v>
      </c>
      <c r="F130" s="9" t="s">
        <v>18</v>
      </c>
      <c r="G130" s="372">
        <v>1</v>
      </c>
      <c r="H130" s="318">
        <v>2</v>
      </c>
      <c r="I130" s="318">
        <v>3</v>
      </c>
      <c r="J130" s="319">
        <v>4</v>
      </c>
      <c r="K130" s="34" t="s">
        <v>136</v>
      </c>
      <c r="L130" s="9" t="s">
        <v>18</v>
      </c>
      <c r="M130" s="9" t="s">
        <v>10</v>
      </c>
      <c r="N130" s="539"/>
      <c r="S130" s="264"/>
      <c r="T130" s="265"/>
      <c r="U130" s="265"/>
      <c r="V130" s="265"/>
      <c r="W130" s="265"/>
      <c r="X130" s="272"/>
    </row>
    <row r="131" spans="3:24" x14ac:dyDescent="0.25">
      <c r="C131" s="10" t="s">
        <v>3</v>
      </c>
      <c r="D131" s="11"/>
      <c r="E131" s="239">
        <f>QuestionsManagement</f>
        <v>30</v>
      </c>
      <c r="F131" s="12">
        <f>PointsManagement</f>
        <v>120</v>
      </c>
      <c r="G131" s="156"/>
      <c r="H131" s="157"/>
      <c r="I131" s="157"/>
      <c r="J131" s="158"/>
      <c r="K131" s="241">
        <f>IF(SUM(G131:J131)=0,0,QuestionsManagement-SUM(G131:J131))</f>
        <v>0</v>
      </c>
      <c r="L131" s="12">
        <f t="shared" ref="L131:L137" si="11">IF(K131=0,(G131*1)+(H131*2)+(I131*3)+(J131*4),"")</f>
        <v>0</v>
      </c>
      <c r="M131" s="236">
        <f>IF(AND(K131=0,SUM(G131:J131)=0),0,IF(AND(K131=0,SUM(G131:J131)=QuestionsManagement),ROUND(L131/SUM(G131:J131),1),""))</f>
        <v>0</v>
      </c>
      <c r="N131" s="254">
        <f>IF(K131=0,L131/PointsManagement,"")</f>
        <v>0</v>
      </c>
      <c r="Q131" s="257">
        <f>IF(K131&lt;&gt;0,QuestionsManagement-K131,IF(AND(K131=0,SUM(G131:J131)=QuestionsManagement),0,QuestionsManagement-K131))</f>
        <v>30</v>
      </c>
      <c r="R131" s="257"/>
      <c r="S131" s="274">
        <f>ABS(IF(SUM(G131:J131)=0,0,QuestionsManagement-SUM(G131:J131)))</f>
        <v>0</v>
      </c>
      <c r="T131" s="185"/>
      <c r="U131" s="185"/>
      <c r="V131" s="185"/>
      <c r="W131" s="185"/>
      <c r="X131" s="185"/>
    </row>
    <row r="132" spans="3:24" x14ac:dyDescent="0.25">
      <c r="C132" s="10" t="s">
        <v>4</v>
      </c>
      <c r="D132" s="11"/>
      <c r="E132" s="239">
        <f>QuestionsFinance</f>
        <v>18</v>
      </c>
      <c r="F132" s="12">
        <f>PointsFinance</f>
        <v>72</v>
      </c>
      <c r="G132" s="156"/>
      <c r="H132" s="157"/>
      <c r="I132" s="157"/>
      <c r="J132" s="158"/>
      <c r="K132" s="276">
        <f>IF(SUM(G132:J132)=0,0,QuestionsFinance-SUM(G132:J132))</f>
        <v>0</v>
      </c>
      <c r="L132" s="12">
        <f t="shared" si="11"/>
        <v>0</v>
      </c>
      <c r="M132" s="236">
        <f>IF(AND(K132=0,SUM(G132:J132)=0),0,IF(AND(K132=0,SUM(G132:J132)=QuestionsFinance),ROUND(L132/SUM(G132:J132),1),""))</f>
        <v>0</v>
      </c>
      <c r="N132" s="254">
        <f>IF(K132=0,L132/PointsFinance,"")</f>
        <v>0</v>
      </c>
      <c r="Q132" s="257">
        <f>IF(K132&lt;&gt;0,QuestionsFinance-K132,IF(AND(K132=0,SUM(G132:J132)=QuestionsFinance),0,QuestionsFinance-K132))</f>
        <v>18</v>
      </c>
      <c r="R132" s="257"/>
      <c r="S132" s="185"/>
      <c r="T132" s="274">
        <f>ABS(IF(SUM(G132:J132)=0,0,QuestionsFinance-SUM(G132:J132)))</f>
        <v>0</v>
      </c>
      <c r="U132" s="185"/>
      <c r="V132" s="185"/>
      <c r="W132" s="185"/>
      <c r="X132" s="185"/>
    </row>
    <row r="133" spans="3:24" x14ac:dyDescent="0.25">
      <c r="C133" s="10" t="s">
        <v>5</v>
      </c>
      <c r="D133" s="11"/>
      <c r="E133" s="239">
        <f>QuestionsSales</f>
        <v>17</v>
      </c>
      <c r="F133" s="12">
        <f>PointsSales</f>
        <v>68</v>
      </c>
      <c r="G133" s="156"/>
      <c r="H133" s="157"/>
      <c r="I133" s="157"/>
      <c r="J133" s="158"/>
      <c r="K133" s="241">
        <f>IF(SUM(G133:J133)=0,0,QuestionsSales-SUM(G133:J133))</f>
        <v>0</v>
      </c>
      <c r="L133" s="12">
        <f t="shared" si="11"/>
        <v>0</v>
      </c>
      <c r="M133" s="236">
        <f>IF(AND(K133=0,SUM(G133:J133)=0),0,IF(AND(K133=0,SUM(G133:J133)=QuestionsSales),ROUND(L133/SUM(G133:J133),1),""))</f>
        <v>0</v>
      </c>
      <c r="N133" s="254">
        <f>IF(K133=0,L133/PointsSales,"")</f>
        <v>0</v>
      </c>
      <c r="Q133" s="257">
        <f>IF(K133&lt;&gt;0,QuestionsSales-K133,IF(AND(K133=0,SUM(G133:J133)=QuestionsSales),0,QuestionsSales-K133))</f>
        <v>17</v>
      </c>
      <c r="R133" s="257"/>
      <c r="S133" s="185"/>
      <c r="T133" s="185"/>
      <c r="U133" s="274">
        <f>ABS(IF(SUM(G133:J133)=0,0,QuestionsSales-SUM(G133:J133)))</f>
        <v>0</v>
      </c>
      <c r="V133" s="185"/>
      <c r="W133" s="185"/>
      <c r="X133" s="185"/>
    </row>
    <row r="134" spans="3:24" x14ac:dyDescent="0.25">
      <c r="C134" s="10" t="s">
        <v>248</v>
      </c>
      <c r="D134" s="11"/>
      <c r="E134" s="239">
        <f>QuestionsOperations</f>
        <v>25</v>
      </c>
      <c r="F134" s="12">
        <f>PointsOperations</f>
        <v>100</v>
      </c>
      <c r="G134" s="156"/>
      <c r="H134" s="157"/>
      <c r="I134" s="157"/>
      <c r="J134" s="158"/>
      <c r="K134" s="241">
        <f>IF(SUM(G134:J134)=0,0,QuestionsOperations-SUM(G134:J134))</f>
        <v>0</v>
      </c>
      <c r="L134" s="12">
        <f t="shared" si="11"/>
        <v>0</v>
      </c>
      <c r="M134" s="236">
        <f>IF(AND(K134=0,SUM(G134:J134)=0),0,IF(AND(K134=0,SUM(G134:J134)=QuestionsOperations),ROUND(L134/SUM(G134:J134),1),""))</f>
        <v>0</v>
      </c>
      <c r="N134" s="254">
        <f>IF(K134=0,L134/PointsOperations,"")</f>
        <v>0</v>
      </c>
      <c r="Q134" s="257">
        <f>IF(K134&lt;&gt;0,QuestionsOperations-K134,IF(AND(K134=0,SUM(G134:J134)=QuestionsOperations),0,QuestionsOperations-K134))</f>
        <v>25</v>
      </c>
      <c r="R134" s="257"/>
      <c r="S134" s="185"/>
      <c r="T134" s="185"/>
      <c r="U134" s="185"/>
      <c r="V134" s="274">
        <f>ABS(IF(SUM(G134:J134)=0,0,QuestionsOperations-SUM(G134:J134)))</f>
        <v>0</v>
      </c>
      <c r="W134" s="185"/>
      <c r="X134" s="185"/>
    </row>
    <row r="135" spans="3:24" x14ac:dyDescent="0.25">
      <c r="C135" s="10" t="s">
        <v>15</v>
      </c>
      <c r="D135" s="11"/>
      <c r="E135" s="239">
        <f>QuestionsWarehouse</f>
        <v>18</v>
      </c>
      <c r="F135" s="12">
        <f>PointsWarehouse</f>
        <v>72</v>
      </c>
      <c r="G135" s="156"/>
      <c r="H135" s="157"/>
      <c r="I135" s="157"/>
      <c r="J135" s="158"/>
      <c r="K135" s="241">
        <f>IF(SUM(G135:J135)=0,0,QuestionsWarehouse-SUM(G135:J135))</f>
        <v>0</v>
      </c>
      <c r="L135" s="12">
        <f t="shared" si="11"/>
        <v>0</v>
      </c>
      <c r="M135" s="236">
        <f>IF(AND(K135=0,SUM(G135:J135)=0),0,IF(AND(K135=0,SUM(G135:J135)=QuestionsWarehouse),ROUND(L135/SUM(G135:J135),1),""))</f>
        <v>0</v>
      </c>
      <c r="N135" s="254">
        <f>IF(K135=0,L135/PointsWarehouse,"")</f>
        <v>0</v>
      </c>
      <c r="Q135" s="257">
        <f>IF(K135&lt;&gt;0,QuestionsWarehouse-K135,IF(AND(K135=0,SUM(G135:J135)=QuestionsWarehouse),0,QuestionsWarehouse-K135))</f>
        <v>18</v>
      </c>
      <c r="R135" s="257"/>
      <c r="S135" s="185"/>
      <c r="T135" s="185"/>
      <c r="U135" s="185"/>
      <c r="V135" s="185"/>
      <c r="W135" s="274">
        <f>ABS(IF(SUM(G135:J135)=0,0,QuestionsWarehouse-SUM(G135:J135)))</f>
        <v>0</v>
      </c>
      <c r="X135" s="185"/>
    </row>
    <row r="136" spans="3:24" x14ac:dyDescent="0.25">
      <c r="C136" s="10" t="s">
        <v>6</v>
      </c>
      <c r="D136" s="11"/>
      <c r="E136" s="239">
        <f>QuestionsRiskManagement</f>
        <v>16</v>
      </c>
      <c r="F136" s="12">
        <f>PointsRiskManagement</f>
        <v>64</v>
      </c>
      <c r="G136" s="156"/>
      <c r="H136" s="157"/>
      <c r="I136" s="157"/>
      <c r="J136" s="158"/>
      <c r="K136" s="241">
        <f>IF(SUM(G136:J136)=0,0,QuestionsRiskManagement-SUM(G136:J136))</f>
        <v>0</v>
      </c>
      <c r="L136" s="12">
        <f t="shared" si="11"/>
        <v>0</v>
      </c>
      <c r="M136" s="236">
        <f>IF(AND(K136=0,SUM(G136:J136)=0),0,IF(AND(K136=0,SUM(G136:J136)=QuestionsRiskManagement),ROUND(L136/SUM(G136:J136),1),""))</f>
        <v>0</v>
      </c>
      <c r="N136" s="254">
        <f>IF(K136=0,L136/PointsRiskManagement,"")</f>
        <v>0</v>
      </c>
      <c r="Q136" s="257">
        <f>IF(K136&lt;&gt;0,QuestionsRiskManagement-K136,IF(AND(K136=0,SUM(G136:J136)=QuestionsRiskManagement),0,QuestionsRiskManagement-K136))</f>
        <v>16</v>
      </c>
      <c r="R136" s="257"/>
      <c r="S136" s="185"/>
      <c r="T136" s="185"/>
      <c r="U136" s="185"/>
      <c r="V136" s="185"/>
      <c r="W136" s="185"/>
      <c r="X136" s="274">
        <f>ABS(IF(SUM(G136:J136)=0,0,QuestionsRiskManagement-SUM(G136:J136)))</f>
        <v>0</v>
      </c>
    </row>
    <row r="137" spans="3:24" x14ac:dyDescent="0.25">
      <c r="C137" s="27" t="s">
        <v>65</v>
      </c>
      <c r="D137" s="28"/>
      <c r="E137" s="240">
        <f>SUM(E131:E136)</f>
        <v>124</v>
      </c>
      <c r="F137" s="29">
        <f>PointsTotal</f>
        <v>496</v>
      </c>
      <c r="G137" s="30">
        <f>SUM(G131:G136)</f>
        <v>0</v>
      </c>
      <c r="H137" s="31">
        <f>SUM(H131:H136)</f>
        <v>0</v>
      </c>
      <c r="I137" s="31">
        <f>SUM(I131:I136)</f>
        <v>0</v>
      </c>
      <c r="J137" s="32">
        <f>SUM(J131:J136)</f>
        <v>0</v>
      </c>
      <c r="K137" s="242">
        <f>ABS(K131)+ABS(K132)+ABS(K133)+ABS(K134)+ABS(K135)+ABS(K136)</f>
        <v>0</v>
      </c>
      <c r="L137" s="29">
        <f t="shared" si="11"/>
        <v>0</v>
      </c>
      <c r="M137" s="29">
        <f>IF(AND(K137=0,SUM(G137:J137)=0),0,IF(AND(K137=0,SUM(G137:J137)=E137),ROUND(L137/SUM(G137:J137),1),""))</f>
        <v>0</v>
      </c>
      <c r="N137" s="254">
        <f>IF(K137=0,L137/PointsTotal,"")</f>
        <v>0</v>
      </c>
      <c r="R137" s="257">
        <f>SUM(Q131:Q136)-E137</f>
        <v>0</v>
      </c>
      <c r="S137" s="185"/>
      <c r="T137" s="185"/>
      <c r="U137" s="185"/>
      <c r="V137" s="185"/>
      <c r="W137" s="185"/>
      <c r="X137" s="185"/>
    </row>
    <row r="138" spans="3:24" x14ac:dyDescent="0.25">
      <c r="N138" s="243"/>
      <c r="S138" s="269"/>
      <c r="T138" s="262"/>
      <c r="U138" s="262"/>
      <c r="V138" s="262"/>
      <c r="W138" s="262"/>
      <c r="X138" s="270"/>
    </row>
    <row r="139" spans="3:24" x14ac:dyDescent="0.25">
      <c r="C139" s="550" t="s">
        <v>79</v>
      </c>
      <c r="D139" s="551"/>
      <c r="E139" s="551"/>
      <c r="F139" s="551"/>
      <c r="G139" s="377" t="s">
        <v>220</v>
      </c>
      <c r="H139" s="377"/>
      <c r="I139" s="377"/>
      <c r="J139" s="377"/>
      <c r="K139" s="279"/>
      <c r="L139" s="1"/>
      <c r="M139" s="1"/>
      <c r="N139" s="255"/>
      <c r="S139" s="263"/>
      <c r="T139" s="260"/>
      <c r="U139" s="260"/>
      <c r="V139" s="260"/>
      <c r="W139" s="260"/>
      <c r="X139" s="271"/>
    </row>
    <row r="140" spans="3:24" ht="7.5" customHeight="1" x14ac:dyDescent="0.25">
      <c r="C140" s="3"/>
      <c r="D140" s="1"/>
      <c r="E140" s="1"/>
      <c r="F140" s="1"/>
      <c r="G140" s="306"/>
      <c r="H140" s="307"/>
      <c r="I140" s="307"/>
      <c r="J140" s="307"/>
      <c r="K140" s="1"/>
      <c r="L140" s="1"/>
      <c r="M140" s="1"/>
      <c r="N140" s="255"/>
      <c r="S140" s="263"/>
      <c r="T140" s="260"/>
      <c r="U140" s="260"/>
      <c r="V140" s="260"/>
      <c r="W140" s="260"/>
      <c r="X140" s="271"/>
    </row>
    <row r="141" spans="3:24" ht="15" customHeight="1" x14ac:dyDescent="0.25">
      <c r="C141" s="4"/>
      <c r="D141" s="5"/>
      <c r="E141" s="237" t="s">
        <v>180</v>
      </c>
      <c r="F141" s="6" t="s">
        <v>17</v>
      </c>
      <c r="G141" s="373" t="s">
        <v>20</v>
      </c>
      <c r="H141" s="373"/>
      <c r="I141" s="374"/>
      <c r="J141" s="375"/>
      <c r="K141" s="33" t="s">
        <v>135</v>
      </c>
      <c r="L141" s="6" t="s">
        <v>16</v>
      </c>
      <c r="M141" s="6" t="s">
        <v>61</v>
      </c>
      <c r="N141" s="538" t="s">
        <v>226</v>
      </c>
      <c r="S141" s="263"/>
      <c r="T141" s="260"/>
      <c r="U141" s="260"/>
      <c r="V141" s="260"/>
      <c r="W141" s="260"/>
      <c r="X141" s="271"/>
    </row>
    <row r="142" spans="3:24" x14ac:dyDescent="0.25">
      <c r="C142" s="7"/>
      <c r="D142" s="8"/>
      <c r="E142" s="238" t="s">
        <v>179</v>
      </c>
      <c r="F142" s="9" t="s">
        <v>18</v>
      </c>
      <c r="G142" s="372">
        <v>1</v>
      </c>
      <c r="H142" s="318">
        <v>2</v>
      </c>
      <c r="I142" s="318">
        <v>3</v>
      </c>
      <c r="J142" s="319">
        <v>4</v>
      </c>
      <c r="K142" s="34" t="s">
        <v>136</v>
      </c>
      <c r="L142" s="9" t="s">
        <v>18</v>
      </c>
      <c r="M142" s="9" t="s">
        <v>10</v>
      </c>
      <c r="N142" s="539"/>
      <c r="S142" s="264"/>
      <c r="T142" s="265"/>
      <c r="U142" s="265"/>
      <c r="V142" s="265"/>
      <c r="W142" s="265"/>
      <c r="X142" s="272"/>
    </row>
    <row r="143" spans="3:24" x14ac:dyDescent="0.25">
      <c r="C143" s="10" t="s">
        <v>3</v>
      </c>
      <c r="D143" s="11"/>
      <c r="E143" s="239">
        <f>QuestionsManagement</f>
        <v>30</v>
      </c>
      <c r="F143" s="12">
        <f>PointsManagement</f>
        <v>120</v>
      </c>
      <c r="G143" s="156"/>
      <c r="H143" s="157"/>
      <c r="I143" s="157"/>
      <c r="J143" s="158"/>
      <c r="K143" s="241">
        <f>IF(SUM(G143:J143)=0,0,QuestionsManagement-SUM(G143:J143))</f>
        <v>0</v>
      </c>
      <c r="L143" s="12">
        <f t="shared" ref="L143:L149" si="12">IF(K143=0,(G143*1)+(H143*2)+(I143*3)+(J143*4),"")</f>
        <v>0</v>
      </c>
      <c r="M143" s="236">
        <f>IF(AND(K143=0,SUM(G143:J143)=0),0,IF(AND(K143=0,SUM(G143:J143)=QuestionsManagement),ROUND(L143/SUM(G143:J143),1),""))</f>
        <v>0</v>
      </c>
      <c r="N143" s="254">
        <f>IF(K143=0,L143/PointsManagement,"")</f>
        <v>0</v>
      </c>
      <c r="Q143" s="257">
        <f>IF(K143&lt;&gt;0,QuestionsManagement-K143,IF(AND(K143=0,SUM(G143:J143)=QuestionsManagement),0,QuestionsManagement-K143))</f>
        <v>30</v>
      </c>
      <c r="R143" s="257"/>
      <c r="S143" s="274">
        <f>ABS(IF(SUM(G143:J143)=0,0,QuestionsManagement-SUM(G143:J143)))</f>
        <v>0</v>
      </c>
      <c r="T143" s="185"/>
      <c r="U143" s="185"/>
      <c r="V143" s="185"/>
      <c r="W143" s="185"/>
      <c r="X143" s="185"/>
    </row>
    <row r="144" spans="3:24" x14ac:dyDescent="0.25">
      <c r="C144" s="10" t="s">
        <v>4</v>
      </c>
      <c r="D144" s="11"/>
      <c r="E144" s="239">
        <f>QuestionsFinance</f>
        <v>18</v>
      </c>
      <c r="F144" s="12">
        <f>PointsFinance</f>
        <v>72</v>
      </c>
      <c r="G144" s="156"/>
      <c r="H144" s="157"/>
      <c r="I144" s="157"/>
      <c r="J144" s="158"/>
      <c r="K144" s="276">
        <f>IF(SUM(G144:J144)=0,0,QuestionsFinance-SUM(G144:J144))</f>
        <v>0</v>
      </c>
      <c r="L144" s="12">
        <f t="shared" si="12"/>
        <v>0</v>
      </c>
      <c r="M144" s="236">
        <f>IF(AND(K144=0,SUM(G144:J144)=0),0,IF(AND(K144=0,SUM(G144:J144)=QuestionsFinance),ROUND(L144/SUM(G144:J144),1),""))</f>
        <v>0</v>
      </c>
      <c r="N144" s="254">
        <f>IF(K144=0,L144/PointsFinance,"")</f>
        <v>0</v>
      </c>
      <c r="Q144" s="257">
        <f>IF(K144&lt;&gt;0,QuestionsFinance-K144,IF(AND(K144=0,SUM(G144:J144)=QuestionsFinance),0,QuestionsFinance-K144))</f>
        <v>18</v>
      </c>
      <c r="R144" s="257"/>
      <c r="S144" s="185"/>
      <c r="T144" s="274">
        <f>ABS(IF(SUM(G144:J144)=0,0,QuestionsFinance-SUM(G144:J144)))</f>
        <v>0</v>
      </c>
      <c r="U144" s="185"/>
      <c r="V144" s="185"/>
      <c r="W144" s="185"/>
      <c r="X144" s="185"/>
    </row>
    <row r="145" spans="3:24" x14ac:dyDescent="0.25">
      <c r="C145" s="10" t="s">
        <v>5</v>
      </c>
      <c r="D145" s="11"/>
      <c r="E145" s="239">
        <f>QuestionsSales</f>
        <v>17</v>
      </c>
      <c r="F145" s="12">
        <f>PointsSales</f>
        <v>68</v>
      </c>
      <c r="G145" s="156"/>
      <c r="H145" s="157"/>
      <c r="I145" s="157"/>
      <c r="J145" s="158"/>
      <c r="K145" s="241">
        <f>IF(SUM(G145:J145)=0,0,QuestionsSales-SUM(G145:J145))</f>
        <v>0</v>
      </c>
      <c r="L145" s="12">
        <f t="shared" si="12"/>
        <v>0</v>
      </c>
      <c r="M145" s="236">
        <f>IF(AND(K145=0,SUM(G145:J145)=0),0,IF(AND(K145=0,SUM(G145:J145)=QuestionsSales),ROUND(L145/SUM(G145:J145),1),""))</f>
        <v>0</v>
      </c>
      <c r="N145" s="254">
        <f>IF(K145=0,L145/PointsSales,"")</f>
        <v>0</v>
      </c>
      <c r="Q145" s="257">
        <f>IF(K145&lt;&gt;0,QuestionsSales-K145,IF(AND(K145=0,SUM(G145:J145)=QuestionsSales),0,QuestionsSales-K145))</f>
        <v>17</v>
      </c>
      <c r="R145" s="257"/>
      <c r="S145" s="185"/>
      <c r="T145" s="185"/>
      <c r="U145" s="274">
        <f>ABS(IF(SUM(G145:J145)=0,0,QuestionsSales-SUM(G145:J145)))</f>
        <v>0</v>
      </c>
      <c r="V145" s="185"/>
      <c r="W145" s="185"/>
      <c r="X145" s="185"/>
    </row>
    <row r="146" spans="3:24" x14ac:dyDescent="0.25">
      <c r="C146" s="10" t="s">
        <v>248</v>
      </c>
      <c r="D146" s="11"/>
      <c r="E146" s="239">
        <f>QuestionsOperations</f>
        <v>25</v>
      </c>
      <c r="F146" s="12">
        <f>PointsOperations</f>
        <v>100</v>
      </c>
      <c r="G146" s="156"/>
      <c r="H146" s="157"/>
      <c r="I146" s="157"/>
      <c r="J146" s="158"/>
      <c r="K146" s="241">
        <f>IF(SUM(G146:J146)=0,0,QuestionsOperations-SUM(G146:J146))</f>
        <v>0</v>
      </c>
      <c r="L146" s="12">
        <f t="shared" si="12"/>
        <v>0</v>
      </c>
      <c r="M146" s="236">
        <f>IF(AND(K146=0,SUM(G146:J146)=0),0,IF(AND(K146=0,SUM(G146:J146)=QuestionsOperations),ROUND(L146/SUM(G146:J146),1),""))</f>
        <v>0</v>
      </c>
      <c r="N146" s="254">
        <f>IF(K146=0,L146/PointsOperations,"")</f>
        <v>0</v>
      </c>
      <c r="Q146" s="257">
        <f>IF(K146&lt;&gt;0,QuestionsOperations-K146,IF(AND(K146=0,SUM(G146:J146)=QuestionsOperations),0,QuestionsOperations-K146))</f>
        <v>25</v>
      </c>
      <c r="R146" s="257"/>
      <c r="S146" s="185"/>
      <c r="T146" s="185"/>
      <c r="U146" s="185"/>
      <c r="V146" s="274">
        <f>ABS(IF(SUM(G146:J146)=0,0,QuestionsOperations-SUM(G146:J146)))</f>
        <v>0</v>
      </c>
      <c r="W146" s="185"/>
      <c r="X146" s="185"/>
    </row>
    <row r="147" spans="3:24" x14ac:dyDescent="0.25">
      <c r="C147" s="10" t="s">
        <v>15</v>
      </c>
      <c r="D147" s="11"/>
      <c r="E147" s="239">
        <f>QuestionsWarehouse</f>
        <v>18</v>
      </c>
      <c r="F147" s="12">
        <f>PointsWarehouse</f>
        <v>72</v>
      </c>
      <c r="G147" s="156"/>
      <c r="H147" s="157"/>
      <c r="I147" s="157"/>
      <c r="J147" s="158"/>
      <c r="K147" s="241">
        <f>IF(SUM(G147:J147)=0,0,QuestionsWarehouse-SUM(G147:J147))</f>
        <v>0</v>
      </c>
      <c r="L147" s="12">
        <f t="shared" si="12"/>
        <v>0</v>
      </c>
      <c r="M147" s="236">
        <f>IF(AND(K147=0,SUM(G147:J147)=0),0,IF(AND(K147=0,SUM(G147:J147)=QuestionsWarehouse),ROUND(L147/SUM(G147:J147),1),""))</f>
        <v>0</v>
      </c>
      <c r="N147" s="254">
        <f>IF(K147=0,L147/PointsWarehouse,"")</f>
        <v>0</v>
      </c>
      <c r="Q147" s="257">
        <f>IF(K147&lt;&gt;0,QuestionsWarehouse-K147,IF(AND(K147=0,SUM(G147:J147)=QuestionsWarehouse),0,QuestionsWarehouse-K147))</f>
        <v>18</v>
      </c>
      <c r="R147" s="257"/>
      <c r="S147" s="185"/>
      <c r="T147" s="185"/>
      <c r="U147" s="185"/>
      <c r="V147" s="185"/>
      <c r="W147" s="274">
        <f>ABS(IF(SUM(G147:J147)=0,0,QuestionsWarehouse-SUM(G147:J147)))</f>
        <v>0</v>
      </c>
      <c r="X147" s="185"/>
    </row>
    <row r="148" spans="3:24" x14ac:dyDescent="0.25">
      <c r="C148" s="10" t="s">
        <v>6</v>
      </c>
      <c r="D148" s="11"/>
      <c r="E148" s="239">
        <f>QuestionsRiskManagement</f>
        <v>16</v>
      </c>
      <c r="F148" s="12">
        <f>PointsRiskManagement</f>
        <v>64</v>
      </c>
      <c r="G148" s="156"/>
      <c r="H148" s="157"/>
      <c r="I148" s="157"/>
      <c r="J148" s="158"/>
      <c r="K148" s="241">
        <f>IF(SUM(G148:J148)=0,0,QuestionsRiskManagement-SUM(G148:J148))</f>
        <v>0</v>
      </c>
      <c r="L148" s="12">
        <f t="shared" si="12"/>
        <v>0</v>
      </c>
      <c r="M148" s="236">
        <f>IF(AND(K148=0,SUM(G148:J148)=0),0,IF(AND(K148=0,SUM(G148:J148)=QuestionsRiskManagement),ROUND(L148/SUM(G148:J148),1),""))</f>
        <v>0</v>
      </c>
      <c r="N148" s="254">
        <f>IF(K148=0,L148/PointsRiskManagement,"")</f>
        <v>0</v>
      </c>
      <c r="Q148" s="257">
        <f>IF(K148&lt;&gt;0,QuestionsRiskManagement-K148,IF(AND(K148=0,SUM(G148:J148)=QuestionsRiskManagement),0,QuestionsRiskManagement-K148))</f>
        <v>16</v>
      </c>
      <c r="R148" s="257"/>
      <c r="S148" s="185"/>
      <c r="T148" s="185"/>
      <c r="U148" s="185"/>
      <c r="V148" s="185"/>
      <c r="W148" s="185"/>
      <c r="X148" s="274">
        <f>ABS(IF(SUM(G148:J148)=0,0,QuestionsRiskManagement-SUM(G148:J148)))</f>
        <v>0</v>
      </c>
    </row>
    <row r="149" spans="3:24" x14ac:dyDescent="0.25">
      <c r="C149" s="27" t="s">
        <v>65</v>
      </c>
      <c r="D149" s="28"/>
      <c r="E149" s="240">
        <f>SUM(E143:E148)</f>
        <v>124</v>
      </c>
      <c r="F149" s="29">
        <f>PointsTotal</f>
        <v>496</v>
      </c>
      <c r="G149" s="30">
        <f>SUM(G143:G148)</f>
        <v>0</v>
      </c>
      <c r="H149" s="31">
        <f>SUM(H143:H148)</f>
        <v>0</v>
      </c>
      <c r="I149" s="31">
        <f>SUM(I143:I148)</f>
        <v>0</v>
      </c>
      <c r="J149" s="32">
        <f>SUM(J143:J148)</f>
        <v>0</v>
      </c>
      <c r="K149" s="242">
        <f>ABS(K143)+ABS(K144)+ABS(K145)+ABS(K146)+ABS(K147)+ABS(K148)</f>
        <v>0</v>
      </c>
      <c r="L149" s="29">
        <f t="shared" si="12"/>
        <v>0</v>
      </c>
      <c r="M149" s="29">
        <f>IF(AND(K149=0,SUM(G149:J149)=0),0,IF(AND(K149=0,SUM(G149:J149)=E149),ROUND(L149/SUM(G149:J149),1),""))</f>
        <v>0</v>
      </c>
      <c r="N149" s="254">
        <f>IF(K149=0,L149/PointsTotal,"")</f>
        <v>0</v>
      </c>
      <c r="R149" s="257">
        <f>SUM(Q143:Q148)-E149</f>
        <v>0</v>
      </c>
      <c r="S149" s="185"/>
      <c r="T149" s="185"/>
      <c r="U149" s="185"/>
      <c r="V149" s="185"/>
      <c r="W149" s="185"/>
      <c r="X149" s="185"/>
    </row>
    <row r="150" spans="3:24" x14ac:dyDescent="0.25">
      <c r="N150" s="243"/>
      <c r="S150" s="269"/>
      <c r="T150" s="262"/>
      <c r="U150" s="262"/>
      <c r="V150" s="262"/>
      <c r="W150" s="262"/>
      <c r="X150" s="270"/>
    </row>
    <row r="151" spans="3:24" x14ac:dyDescent="0.25">
      <c r="C151" s="550" t="s">
        <v>78</v>
      </c>
      <c r="D151" s="551"/>
      <c r="E151" s="551"/>
      <c r="F151" s="551"/>
      <c r="G151" s="377" t="s">
        <v>221</v>
      </c>
      <c r="H151" s="377"/>
      <c r="I151" s="377"/>
      <c r="J151" s="377"/>
      <c r="K151" s="279"/>
      <c r="L151" s="1"/>
      <c r="M151" s="1"/>
      <c r="N151" s="255"/>
      <c r="S151" s="263"/>
      <c r="T151" s="260"/>
      <c r="U151" s="260"/>
      <c r="V151" s="260"/>
      <c r="W151" s="260"/>
      <c r="X151" s="271"/>
    </row>
    <row r="152" spans="3:24" ht="7.5" customHeight="1" x14ac:dyDescent="0.25">
      <c r="C152" s="3"/>
      <c r="D152" s="1"/>
      <c r="E152" s="1"/>
      <c r="F152" s="1"/>
      <c r="G152" s="306"/>
      <c r="H152" s="307"/>
      <c r="I152" s="307"/>
      <c r="J152" s="307"/>
      <c r="K152" s="1"/>
      <c r="L152" s="1"/>
      <c r="M152" s="1"/>
      <c r="N152" s="255"/>
      <c r="S152" s="263"/>
      <c r="T152" s="260"/>
      <c r="U152" s="260"/>
      <c r="V152" s="260"/>
      <c r="W152" s="260"/>
      <c r="X152" s="271"/>
    </row>
    <row r="153" spans="3:24" ht="15" customHeight="1" x14ac:dyDescent="0.25">
      <c r="C153" s="4"/>
      <c r="D153" s="5"/>
      <c r="E153" s="237" t="s">
        <v>180</v>
      </c>
      <c r="F153" s="6" t="s">
        <v>17</v>
      </c>
      <c r="G153" s="373" t="s">
        <v>20</v>
      </c>
      <c r="H153" s="373"/>
      <c r="I153" s="374"/>
      <c r="J153" s="375"/>
      <c r="K153" s="33" t="s">
        <v>135</v>
      </c>
      <c r="L153" s="6" t="s">
        <v>16</v>
      </c>
      <c r="M153" s="6" t="s">
        <v>61</v>
      </c>
      <c r="N153" s="538" t="s">
        <v>226</v>
      </c>
      <c r="S153" s="263"/>
      <c r="T153" s="260"/>
      <c r="U153" s="260"/>
      <c r="V153" s="260"/>
      <c r="W153" s="260"/>
      <c r="X153" s="271"/>
    </row>
    <row r="154" spans="3:24" x14ac:dyDescent="0.25">
      <c r="C154" s="7"/>
      <c r="D154" s="8"/>
      <c r="E154" s="238" t="s">
        <v>179</v>
      </c>
      <c r="F154" s="9" t="s">
        <v>18</v>
      </c>
      <c r="G154" s="372">
        <v>1</v>
      </c>
      <c r="H154" s="318">
        <v>2</v>
      </c>
      <c r="I154" s="318">
        <v>3</v>
      </c>
      <c r="J154" s="319">
        <v>4</v>
      </c>
      <c r="K154" s="34" t="s">
        <v>136</v>
      </c>
      <c r="L154" s="9" t="s">
        <v>18</v>
      </c>
      <c r="M154" s="9" t="s">
        <v>10</v>
      </c>
      <c r="N154" s="539"/>
      <c r="S154" s="264"/>
      <c r="T154" s="265"/>
      <c r="U154" s="265"/>
      <c r="V154" s="265"/>
      <c r="W154" s="265"/>
      <c r="X154" s="272"/>
    </row>
    <row r="155" spans="3:24" x14ac:dyDescent="0.25">
      <c r="C155" s="10" t="s">
        <v>3</v>
      </c>
      <c r="D155" s="11"/>
      <c r="E155" s="239">
        <f>QuestionsManagement</f>
        <v>30</v>
      </c>
      <c r="F155" s="12">
        <f>PointsManagement</f>
        <v>120</v>
      </c>
      <c r="G155" s="156"/>
      <c r="H155" s="157"/>
      <c r="I155" s="157"/>
      <c r="J155" s="158"/>
      <c r="K155" s="241">
        <f>IF(SUM(G155:J155)=0,0,QuestionsManagement-SUM(G155:J155))</f>
        <v>0</v>
      </c>
      <c r="L155" s="12">
        <f t="shared" ref="L155:L161" si="13">IF(K155=0,(G155*1)+(H155*2)+(I155*3)+(J155*4),"")</f>
        <v>0</v>
      </c>
      <c r="M155" s="236">
        <f>IF(AND(K155=0,SUM(G155:J155)=0),0,IF(AND(K155=0,SUM(G155:J155)=QuestionsManagement),ROUND(L155/SUM(G155:J155),1),""))</f>
        <v>0</v>
      </c>
      <c r="N155" s="254">
        <f>IF(K155=0,L155/PointsManagement,"")</f>
        <v>0</v>
      </c>
      <c r="Q155" s="257">
        <f>IF(K155&lt;&gt;0,QuestionsManagement-K155,IF(AND(K155=0,SUM(G155:J155)=QuestionsManagement),0,QuestionsManagement-K155))</f>
        <v>30</v>
      </c>
      <c r="R155" s="257"/>
      <c r="S155" s="274">
        <f>ABS(IF(SUM(G155:J155)=0,0,QuestionsManagement-SUM(G155:J155)))</f>
        <v>0</v>
      </c>
      <c r="T155" s="185"/>
      <c r="U155" s="185"/>
      <c r="V155" s="185"/>
      <c r="W155" s="185"/>
      <c r="X155" s="185"/>
    </row>
    <row r="156" spans="3:24" x14ac:dyDescent="0.25">
      <c r="C156" s="10" t="s">
        <v>4</v>
      </c>
      <c r="D156" s="11"/>
      <c r="E156" s="239">
        <f>QuestionsFinance</f>
        <v>18</v>
      </c>
      <c r="F156" s="12">
        <f>PointsFinance</f>
        <v>72</v>
      </c>
      <c r="G156" s="156"/>
      <c r="H156" s="157"/>
      <c r="I156" s="157"/>
      <c r="J156" s="158"/>
      <c r="K156" s="276">
        <f>IF(SUM(G156:J156)=0,0,QuestionsFinance-SUM(G156:J156))</f>
        <v>0</v>
      </c>
      <c r="L156" s="12">
        <f t="shared" si="13"/>
        <v>0</v>
      </c>
      <c r="M156" s="236">
        <f>IF(AND(K156=0,SUM(G156:J156)=0),0,IF(AND(K156=0,SUM(G156:J156)=QuestionsFinance),ROUND(L156/SUM(G156:J156),1),""))</f>
        <v>0</v>
      </c>
      <c r="N156" s="254">
        <f>IF(K156=0,L156/PointsFinance,"")</f>
        <v>0</v>
      </c>
      <c r="Q156" s="257">
        <f>IF(K156&lt;&gt;0,QuestionsFinance-K156,IF(AND(K156=0,SUM(G156:J156)=QuestionsFinance),0,QuestionsFinance-K156))</f>
        <v>18</v>
      </c>
      <c r="R156" s="257"/>
      <c r="S156" s="185"/>
      <c r="T156" s="274">
        <f>ABS(IF(SUM(G156:J156)=0,0,QuestionsFinance-SUM(G156:J156)))</f>
        <v>0</v>
      </c>
      <c r="U156" s="185"/>
      <c r="V156" s="185"/>
      <c r="W156" s="185"/>
      <c r="X156" s="185"/>
    </row>
    <row r="157" spans="3:24" x14ac:dyDescent="0.25">
      <c r="C157" s="10" t="s">
        <v>5</v>
      </c>
      <c r="D157" s="11"/>
      <c r="E157" s="239">
        <f>QuestionsSales</f>
        <v>17</v>
      </c>
      <c r="F157" s="12">
        <f>PointsSales</f>
        <v>68</v>
      </c>
      <c r="G157" s="156"/>
      <c r="H157" s="157"/>
      <c r="I157" s="157"/>
      <c r="J157" s="158"/>
      <c r="K157" s="241">
        <f>IF(SUM(G157:J157)=0,0,QuestionsSales-SUM(G157:J157))</f>
        <v>0</v>
      </c>
      <c r="L157" s="12">
        <f t="shared" si="13"/>
        <v>0</v>
      </c>
      <c r="M157" s="236">
        <f>IF(AND(K157=0,SUM(G157:J157)=0),0,IF(AND(K157=0,SUM(G157:J157)=QuestionsSales),ROUND(L157/SUM(G157:J157),1),""))</f>
        <v>0</v>
      </c>
      <c r="N157" s="254">
        <f>IF(K157=0,L157/PointsSales,"")</f>
        <v>0</v>
      </c>
      <c r="Q157" s="257">
        <f>IF(K157&lt;&gt;0,QuestionsSales-K157,IF(AND(K157=0,SUM(G157:J157)=QuestionsSales),0,QuestionsSales-K157))</f>
        <v>17</v>
      </c>
      <c r="R157" s="257"/>
      <c r="S157" s="185"/>
      <c r="T157" s="185"/>
      <c r="U157" s="274">
        <f>ABS(IF(SUM(G157:J157)=0,0,QuestionsSales-SUM(G157:J157)))</f>
        <v>0</v>
      </c>
      <c r="V157" s="185"/>
      <c r="W157" s="185"/>
      <c r="X157" s="185"/>
    </row>
    <row r="158" spans="3:24" x14ac:dyDescent="0.25">
      <c r="C158" s="10" t="s">
        <v>248</v>
      </c>
      <c r="D158" s="11"/>
      <c r="E158" s="239">
        <f>QuestionsOperations</f>
        <v>25</v>
      </c>
      <c r="F158" s="12">
        <f>PointsOperations</f>
        <v>100</v>
      </c>
      <c r="G158" s="156"/>
      <c r="H158" s="157"/>
      <c r="I158" s="157"/>
      <c r="J158" s="158"/>
      <c r="K158" s="241">
        <f>IF(SUM(G158:J158)=0,0,QuestionsOperations-SUM(G158:J158))</f>
        <v>0</v>
      </c>
      <c r="L158" s="12">
        <f t="shared" si="13"/>
        <v>0</v>
      </c>
      <c r="M158" s="236">
        <f>IF(AND(K158=0,SUM(G158:J158)=0),0,IF(AND(K158=0,SUM(G158:J158)=QuestionsOperations),ROUND(L158/SUM(G158:J158),1),""))</f>
        <v>0</v>
      </c>
      <c r="N158" s="254">
        <f>IF(K158=0,L158/PointsOperations,"")</f>
        <v>0</v>
      </c>
      <c r="Q158" s="257">
        <f>IF(K158&lt;&gt;0,QuestionsOperations-K158,IF(AND(K158=0,SUM(G158:J158)=QuestionsOperations),0,QuestionsOperations-K158))</f>
        <v>25</v>
      </c>
      <c r="R158" s="257"/>
      <c r="S158" s="185"/>
      <c r="T158" s="185"/>
      <c r="U158" s="185"/>
      <c r="V158" s="274">
        <f>ABS(IF(SUM(G158:J158)=0,0,QuestionsOperations-SUM(G158:J158)))</f>
        <v>0</v>
      </c>
      <c r="W158" s="185"/>
      <c r="X158" s="185"/>
    </row>
    <row r="159" spans="3:24" x14ac:dyDescent="0.25">
      <c r="C159" s="10" t="s">
        <v>15</v>
      </c>
      <c r="D159" s="11"/>
      <c r="E159" s="239">
        <f>QuestionsWarehouse</f>
        <v>18</v>
      </c>
      <c r="F159" s="12">
        <f>PointsWarehouse</f>
        <v>72</v>
      </c>
      <c r="G159" s="156"/>
      <c r="H159" s="157"/>
      <c r="I159" s="157"/>
      <c r="J159" s="158"/>
      <c r="K159" s="241">
        <f>IF(SUM(G159:J159)=0,0,QuestionsWarehouse-SUM(G159:J159))</f>
        <v>0</v>
      </c>
      <c r="L159" s="12">
        <f t="shared" si="13"/>
        <v>0</v>
      </c>
      <c r="M159" s="236">
        <f>IF(AND(K159=0,SUM(G159:J159)=0),0,IF(AND(K159=0,SUM(G159:J159)=QuestionsWarehouse),ROUND(L159/SUM(G159:J159),1),""))</f>
        <v>0</v>
      </c>
      <c r="N159" s="254">
        <f>IF(K159=0,L159/PointsWarehouse,"")</f>
        <v>0</v>
      </c>
      <c r="Q159" s="257">
        <f>IF(K159&lt;&gt;0,QuestionsWarehouse-K159,IF(AND(K159=0,SUM(G159:J159)=QuestionsWarehouse),0,QuestionsWarehouse-K159))</f>
        <v>18</v>
      </c>
      <c r="R159" s="257"/>
      <c r="S159" s="185"/>
      <c r="T159" s="185"/>
      <c r="U159" s="185"/>
      <c r="V159" s="185"/>
      <c r="W159" s="274">
        <f>ABS(IF(SUM(G159:J159)=0,0,QuestionsWarehouse-SUM(G159:J159)))</f>
        <v>0</v>
      </c>
      <c r="X159" s="185"/>
    </row>
    <row r="160" spans="3:24" x14ac:dyDescent="0.25">
      <c r="C160" s="10" t="s">
        <v>6</v>
      </c>
      <c r="D160" s="11"/>
      <c r="E160" s="239">
        <f>QuestionsRiskManagement</f>
        <v>16</v>
      </c>
      <c r="F160" s="12">
        <f>PointsRiskManagement</f>
        <v>64</v>
      </c>
      <c r="G160" s="156"/>
      <c r="H160" s="157"/>
      <c r="I160" s="157"/>
      <c r="J160" s="158"/>
      <c r="K160" s="241">
        <f>IF(SUM(G160:J160)=0,0,QuestionsRiskManagement-SUM(G160:J160))</f>
        <v>0</v>
      </c>
      <c r="L160" s="12">
        <f t="shared" si="13"/>
        <v>0</v>
      </c>
      <c r="M160" s="236">
        <f>IF(AND(K160=0,SUM(G160:J160)=0),0,IF(AND(K160=0,SUM(G160:J160)=QuestionsRiskManagement),ROUND(L160/SUM(G160:J160),1),""))</f>
        <v>0</v>
      </c>
      <c r="N160" s="254">
        <f>IF(K160=0,L160/PointsRiskManagement,"")</f>
        <v>0</v>
      </c>
      <c r="Q160" s="257">
        <f>IF(K160&lt;&gt;0,QuestionsRiskManagement-K160,IF(AND(K160=0,SUM(G160:J160)=QuestionsRiskManagement),0,QuestionsRiskManagement-K160))</f>
        <v>16</v>
      </c>
      <c r="R160" s="257"/>
      <c r="S160" s="185"/>
      <c r="T160" s="185"/>
      <c r="U160" s="185"/>
      <c r="V160" s="185"/>
      <c r="W160" s="185"/>
      <c r="X160" s="274">
        <f>ABS(IF(SUM(G160:J160)=0,0,QuestionsRiskManagement-SUM(G160:J160)))</f>
        <v>0</v>
      </c>
    </row>
    <row r="161" spans="1:24" x14ac:dyDescent="0.25">
      <c r="C161" s="27" t="s">
        <v>65</v>
      </c>
      <c r="D161" s="28"/>
      <c r="E161" s="240">
        <f>SUM(E155:E160)</f>
        <v>124</v>
      </c>
      <c r="F161" s="29">
        <f>PointsTotal</f>
        <v>496</v>
      </c>
      <c r="G161" s="30">
        <f>SUM(G155:G160)</f>
        <v>0</v>
      </c>
      <c r="H161" s="31">
        <f>SUM(H155:H160)</f>
        <v>0</v>
      </c>
      <c r="I161" s="31">
        <f>SUM(I155:I160)</f>
        <v>0</v>
      </c>
      <c r="J161" s="32">
        <f>SUM(J155:J160)</f>
        <v>0</v>
      </c>
      <c r="K161" s="242">
        <f>ABS(K155)+ABS(K156)+ABS(K157)+ABS(K158)+ABS(K159)+ABS(K160)</f>
        <v>0</v>
      </c>
      <c r="L161" s="29">
        <f t="shared" si="13"/>
        <v>0</v>
      </c>
      <c r="M161" s="29">
        <f>IF(AND(K161=0,SUM(G161:J161)=0),0,IF(AND(K161=0,SUM(G161:J161)=E161),ROUND(L161/SUM(G161:J161),1),""))</f>
        <v>0</v>
      </c>
      <c r="N161" s="254">
        <f>IF(K161=0,L161/PointsTotal,"")</f>
        <v>0</v>
      </c>
      <c r="R161" s="257">
        <f>SUM(Q155:Q160)-E161</f>
        <v>0</v>
      </c>
      <c r="S161" s="185"/>
      <c r="T161" s="185"/>
      <c r="U161" s="185"/>
      <c r="V161" s="185"/>
      <c r="W161" s="185"/>
      <c r="X161" s="185"/>
    </row>
    <row r="162" spans="1:24" s="450" customFormat="1" ht="3.75" customHeight="1" x14ac:dyDescent="0.25">
      <c r="A162" s="420"/>
      <c r="S162" s="452"/>
      <c r="T162" s="452"/>
      <c r="U162" s="452"/>
      <c r="V162" s="452"/>
      <c r="W162" s="452"/>
      <c r="X162" s="452"/>
    </row>
    <row r="163" spans="1:24" ht="15.75" hidden="1" thickBot="1" x14ac:dyDescent="0.3"/>
    <row r="164" spans="1:24" ht="15.75" hidden="1" thickTop="1" x14ac:dyDescent="0.25">
      <c r="C164" s="13"/>
      <c r="D164" s="14" t="s">
        <v>7</v>
      </c>
      <c r="E164" s="220"/>
      <c r="J164" s="155" t="s">
        <v>189</v>
      </c>
      <c r="K164" s="300">
        <f>K29+K41+K53+K65+K77+K89+K101+K113+K125+K137+K149+K161</f>
        <v>0</v>
      </c>
      <c r="Q164" s="288">
        <f>SUM(Q22:Q163)</f>
        <v>1488</v>
      </c>
      <c r="R164" s="288">
        <f>SUM(R22:R163)</f>
        <v>0</v>
      </c>
      <c r="S164" s="288">
        <f t="shared" ref="S164:X164" si="14">SUM(S22:S163)</f>
        <v>0</v>
      </c>
      <c r="T164" s="288">
        <f t="shared" si="14"/>
        <v>0</v>
      </c>
      <c r="U164" s="288">
        <f t="shared" si="14"/>
        <v>0</v>
      </c>
      <c r="V164" s="288">
        <f t="shared" si="14"/>
        <v>0</v>
      </c>
      <c r="W164" s="288">
        <f t="shared" si="14"/>
        <v>0</v>
      </c>
      <c r="X164" s="288">
        <f t="shared" si="14"/>
        <v>0</v>
      </c>
    </row>
    <row r="165" spans="1:24" hidden="1" x14ac:dyDescent="0.25">
      <c r="C165" s="142" t="s">
        <v>45</v>
      </c>
      <c r="D165" s="15">
        <f>Person1Total</f>
        <v>0</v>
      </c>
      <c r="E165" s="201"/>
      <c r="K165" s="301"/>
      <c r="Q165" s="268" t="s">
        <v>202</v>
      </c>
      <c r="R165" s="268"/>
      <c r="S165" s="268" t="s">
        <v>197</v>
      </c>
      <c r="T165" s="268" t="s">
        <v>4</v>
      </c>
      <c r="U165" s="268" t="s">
        <v>196</v>
      </c>
      <c r="V165" s="268" t="s">
        <v>198</v>
      </c>
      <c r="W165" s="268" t="s">
        <v>199</v>
      </c>
      <c r="X165" s="268" t="s">
        <v>200</v>
      </c>
    </row>
    <row r="166" spans="1:24" hidden="1" x14ac:dyDescent="0.25">
      <c r="C166" s="142" t="s">
        <v>46</v>
      </c>
      <c r="D166" s="15">
        <f>Person2Total</f>
        <v>0</v>
      </c>
      <c r="E166" s="201"/>
      <c r="K166" s="301"/>
      <c r="Q166" s="301"/>
      <c r="R166" s="301"/>
    </row>
    <row r="167" spans="1:24" hidden="1" x14ac:dyDescent="0.25">
      <c r="C167" s="142" t="s">
        <v>47</v>
      </c>
      <c r="D167" s="15">
        <f>Person3Total</f>
        <v>0</v>
      </c>
      <c r="E167" s="201"/>
      <c r="K167" s="301"/>
      <c r="Q167" s="301"/>
      <c r="R167" s="301"/>
    </row>
    <row r="168" spans="1:24" s="220" customFormat="1" hidden="1" x14ac:dyDescent="0.25">
      <c r="A168" s="421"/>
      <c r="B168" s="451"/>
      <c r="C168" s="142" t="s">
        <v>48</v>
      </c>
      <c r="D168" s="15">
        <f>Person4Total</f>
        <v>0</v>
      </c>
      <c r="E168" s="201"/>
      <c r="Q168" s="299"/>
      <c r="S168" s="337"/>
      <c r="T168" s="337"/>
      <c r="U168" s="337"/>
      <c r="V168" s="337"/>
      <c r="W168" s="337"/>
      <c r="X168" s="337"/>
    </row>
    <row r="169" spans="1:24" s="220" customFormat="1" hidden="1" x14ac:dyDescent="0.25">
      <c r="A169" s="421"/>
      <c r="B169" s="451"/>
      <c r="C169" s="142" t="s">
        <v>88</v>
      </c>
      <c r="D169" s="15">
        <f>Person5Total</f>
        <v>0</v>
      </c>
      <c r="E169" s="201"/>
      <c r="S169" s="337"/>
      <c r="T169" s="337"/>
      <c r="U169" s="337"/>
      <c r="V169" s="337"/>
      <c r="W169" s="337"/>
      <c r="X169" s="337"/>
    </row>
    <row r="170" spans="1:24" s="220" customFormat="1" hidden="1" x14ac:dyDescent="0.25">
      <c r="A170" s="421"/>
      <c r="B170" s="451"/>
      <c r="C170" s="142" t="s">
        <v>89</v>
      </c>
      <c r="D170" s="15">
        <f>Person6Total</f>
        <v>0</v>
      </c>
      <c r="E170" s="201"/>
      <c r="F170" s="338"/>
      <c r="G170" s="339"/>
      <c r="H170" s="339"/>
      <c r="I170" s="339"/>
      <c r="J170" s="339"/>
      <c r="K170" s="340"/>
      <c r="L170" s="341"/>
      <c r="M170" s="340"/>
      <c r="N170" s="340"/>
      <c r="O170" s="340"/>
      <c r="P170" s="340"/>
      <c r="Q170" s="340"/>
      <c r="R170" s="340"/>
      <c r="S170" s="337"/>
      <c r="T170" s="337"/>
      <c r="U170" s="337"/>
      <c r="V170" s="337"/>
      <c r="W170" s="337"/>
      <c r="X170" s="337"/>
    </row>
    <row r="171" spans="1:24" s="220" customFormat="1" hidden="1" x14ac:dyDescent="0.25">
      <c r="A171" s="421"/>
      <c r="B171" s="451"/>
      <c r="C171" s="142" t="s">
        <v>90</v>
      </c>
      <c r="D171" s="15">
        <f>Person7Total</f>
        <v>0</v>
      </c>
      <c r="E171" s="201"/>
      <c r="F171" s="342"/>
      <c r="G171" s="299"/>
      <c r="H171" s="299"/>
      <c r="I171" s="299"/>
      <c r="J171" s="299"/>
      <c r="S171" s="342"/>
      <c r="T171" s="337"/>
      <c r="U171" s="337"/>
      <c r="V171" s="337"/>
      <c r="W171" s="337"/>
      <c r="X171" s="337"/>
    </row>
    <row r="172" spans="1:24" s="220" customFormat="1" hidden="1" x14ac:dyDescent="0.25">
      <c r="A172" s="421"/>
      <c r="B172" s="451"/>
      <c r="C172" s="142" t="s">
        <v>91</v>
      </c>
      <c r="D172" s="15">
        <f>Person8Total</f>
        <v>0</v>
      </c>
      <c r="E172" s="201"/>
      <c r="F172" s="342"/>
      <c r="G172" s="299"/>
      <c r="H172" s="299"/>
      <c r="I172" s="299"/>
      <c r="J172" s="299"/>
      <c r="S172" s="342"/>
      <c r="T172" s="337"/>
      <c r="U172" s="337"/>
      <c r="V172" s="337"/>
      <c r="W172" s="337"/>
      <c r="X172" s="337"/>
    </row>
    <row r="173" spans="1:24" s="220" customFormat="1" hidden="1" x14ac:dyDescent="0.25">
      <c r="A173" s="421"/>
      <c r="B173" s="451"/>
      <c r="C173" s="142" t="s">
        <v>92</v>
      </c>
      <c r="D173" s="15">
        <f>Person9Total</f>
        <v>0</v>
      </c>
      <c r="E173" s="201"/>
      <c r="F173" s="342"/>
      <c r="G173" s="299"/>
      <c r="H173" s="299"/>
      <c r="I173" s="299"/>
      <c r="J173" s="299"/>
      <c r="S173" s="342"/>
      <c r="T173" s="337"/>
      <c r="U173" s="337"/>
      <c r="V173" s="337"/>
      <c r="W173" s="337"/>
      <c r="X173" s="337"/>
    </row>
    <row r="174" spans="1:24" s="220" customFormat="1" hidden="1" x14ac:dyDescent="0.25">
      <c r="A174" s="421"/>
      <c r="B174" s="451"/>
      <c r="C174" s="142" t="s">
        <v>93</v>
      </c>
      <c r="D174" s="15">
        <f>Person10Total</f>
        <v>0</v>
      </c>
      <c r="E174" s="201"/>
      <c r="F174" s="342"/>
      <c r="G174" s="299"/>
      <c r="H174" s="299"/>
      <c r="I174" s="299"/>
      <c r="J174" s="299"/>
      <c r="S174" s="201"/>
      <c r="T174" s="337"/>
      <c r="U174" s="337"/>
      <c r="V174" s="337"/>
      <c r="W174" s="337"/>
      <c r="X174" s="337"/>
    </row>
    <row r="175" spans="1:24" s="220" customFormat="1" hidden="1" x14ac:dyDescent="0.25">
      <c r="A175" s="421"/>
      <c r="B175" s="451"/>
      <c r="C175" s="142" t="s">
        <v>94</v>
      </c>
      <c r="D175" s="15">
        <f>Person11Total</f>
        <v>0</v>
      </c>
      <c r="E175" s="201"/>
      <c r="F175" s="338"/>
      <c r="S175" s="337"/>
      <c r="T175" s="337"/>
      <c r="U175" s="337"/>
      <c r="V175" s="337"/>
      <c r="W175" s="337"/>
      <c r="X175" s="337"/>
    </row>
    <row r="176" spans="1:24" s="220" customFormat="1" ht="15.75" hidden="1" thickBot="1" x14ac:dyDescent="0.3">
      <c r="A176" s="421"/>
      <c r="B176" s="451"/>
      <c r="C176" s="143" t="s">
        <v>95</v>
      </c>
      <c r="D176" s="16">
        <f>Person12Total</f>
        <v>0</v>
      </c>
      <c r="E176" s="201"/>
      <c r="F176" s="343"/>
      <c r="S176" s="337"/>
      <c r="T176" s="337"/>
      <c r="U176" s="337"/>
      <c r="V176" s="337"/>
      <c r="W176" s="337"/>
      <c r="X176" s="337"/>
    </row>
    <row r="177" spans="1:24" s="220" customFormat="1" hidden="1" x14ac:dyDescent="0.25">
      <c r="A177" s="421"/>
      <c r="B177" s="451"/>
      <c r="C177" s="2"/>
      <c r="D177" s="2"/>
      <c r="E177" s="2"/>
      <c r="F177" s="344"/>
      <c r="S177" s="337"/>
      <c r="T177" s="337"/>
      <c r="U177" s="337"/>
      <c r="V177" s="337"/>
      <c r="W177" s="337"/>
      <c r="X177" s="337"/>
    </row>
    <row r="178" spans="1:24" s="220" customFormat="1" hidden="1" x14ac:dyDescent="0.25">
      <c r="A178" s="421"/>
      <c r="B178" s="451"/>
      <c r="C178" s="2"/>
      <c r="D178" s="2"/>
      <c r="E178" s="2"/>
      <c r="F178" s="338"/>
      <c r="S178" s="337"/>
      <c r="T178" s="337"/>
      <c r="U178" s="337"/>
      <c r="V178" s="337"/>
      <c r="W178" s="337"/>
      <c r="X178" s="337"/>
    </row>
    <row r="179" spans="1:24" s="220" customFormat="1" hidden="1" x14ac:dyDescent="0.25">
      <c r="A179" s="421"/>
      <c r="B179" s="451"/>
      <c r="C179" s="2"/>
      <c r="D179" s="2"/>
      <c r="E179" s="2"/>
      <c r="F179" s="344"/>
      <c r="S179" s="337"/>
      <c r="T179" s="337"/>
      <c r="U179" s="337"/>
      <c r="V179" s="337"/>
      <c r="W179" s="337"/>
      <c r="X179" s="337"/>
    </row>
    <row r="180" spans="1:24" s="220" customFormat="1" hidden="1" x14ac:dyDescent="0.25">
      <c r="A180" s="421"/>
      <c r="B180" s="451"/>
      <c r="C180" s="2"/>
      <c r="D180" s="2"/>
      <c r="E180" s="2"/>
      <c r="F180" s="344"/>
      <c r="S180" s="337"/>
      <c r="T180" s="337"/>
      <c r="U180" s="337"/>
      <c r="V180" s="337"/>
      <c r="W180" s="337"/>
      <c r="X180" s="337"/>
    </row>
    <row r="181" spans="1:24" s="220" customFormat="1" hidden="1" x14ac:dyDescent="0.25">
      <c r="A181" s="421"/>
      <c r="B181" s="451"/>
      <c r="C181" s="2"/>
      <c r="D181" s="2"/>
      <c r="E181" s="2"/>
      <c r="S181" s="337"/>
      <c r="T181" s="337"/>
      <c r="U181" s="337"/>
      <c r="V181" s="337"/>
      <c r="W181" s="337"/>
      <c r="X181" s="337"/>
    </row>
    <row r="182" spans="1:24" s="220" customFormat="1" hidden="1" x14ac:dyDescent="0.25">
      <c r="A182" s="421"/>
      <c r="B182" s="451"/>
      <c r="C182" s="2"/>
      <c r="D182" s="2"/>
      <c r="E182" s="2"/>
      <c r="S182" s="337"/>
      <c r="T182" s="337"/>
      <c r="U182" s="337"/>
      <c r="V182" s="337"/>
      <c r="W182" s="337"/>
      <c r="X182" s="337"/>
    </row>
  </sheetData>
  <sheetProtection algorithmName="SHA-512" hashValue="Zq0ByhMuAX9eMOwbKShsUvAAhE4NHCXdWShdwlvPSkJSF4Jdq8GWk97pCU0zCMPbtDlbbNW/loct/A3TUNWagg==" saltValue="UAX+kgE/Z4tFHIkWIceV0w==" spinCount="100000" sheet="1" objects="1" scenarios="1"/>
  <mergeCells count="36">
    <mergeCell ref="C91:F91"/>
    <mergeCell ref="C139:F139"/>
    <mergeCell ref="C151:F151"/>
    <mergeCell ref="C115:F115"/>
    <mergeCell ref="N33:N34"/>
    <mergeCell ref="C67:F67"/>
    <mergeCell ref="C79:F79"/>
    <mergeCell ref="N141:N142"/>
    <mergeCell ref="C103:F103"/>
    <mergeCell ref="C127:F127"/>
    <mergeCell ref="C55:F55"/>
    <mergeCell ref="H5:N5"/>
    <mergeCell ref="N21:N22"/>
    <mergeCell ref="C19:F19"/>
    <mergeCell ref="C31:F31"/>
    <mergeCell ref="C43:F43"/>
    <mergeCell ref="C7:F7"/>
    <mergeCell ref="N9:N10"/>
    <mergeCell ref="C6:F6"/>
    <mergeCell ref="G6:J6"/>
    <mergeCell ref="C1:D1"/>
    <mergeCell ref="C2:D2"/>
    <mergeCell ref="C3:D3"/>
    <mergeCell ref="F1:N1"/>
    <mergeCell ref="F2:N2"/>
    <mergeCell ref="F3:G3"/>
    <mergeCell ref="H3:N4"/>
    <mergeCell ref="N153:N154"/>
    <mergeCell ref="N45:N46"/>
    <mergeCell ref="N57:N58"/>
    <mergeCell ref="N93:N94"/>
    <mergeCell ref="N81:N82"/>
    <mergeCell ref="N69:N70"/>
    <mergeCell ref="N105:N106"/>
    <mergeCell ref="N117:N118"/>
    <mergeCell ref="N129:N130"/>
  </mergeCells>
  <phoneticPr fontId="5" type="noConversion"/>
  <conditionalFormatting sqref="K23:K28">
    <cfRule type="cellIs" dxfId="310" priority="306" stopIfTrue="1" operator="notEqual">
      <formula>0</formula>
    </cfRule>
  </conditionalFormatting>
  <conditionalFormatting sqref="N23:N29">
    <cfRule type="cellIs" dxfId="309" priority="302" stopIfTrue="1" operator="between">
      <formula>1</formula>
      <formula>0.895</formula>
    </cfRule>
    <cfRule type="cellIs" dxfId="308" priority="303" stopIfTrue="1" operator="between">
      <formula>0.894999999999999</formula>
      <formula>0.845</formula>
    </cfRule>
    <cfRule type="cellIs" dxfId="307" priority="304" stopIfTrue="1" operator="between">
      <formula>0.84499999999999</formula>
      <formula>0.795</formula>
    </cfRule>
    <cfRule type="cellIs" dxfId="306" priority="305" stopIfTrue="1" operator="between">
      <formula>0.794999999999999</formula>
      <formula>0.0001</formula>
    </cfRule>
  </conditionalFormatting>
  <conditionalFormatting sqref="K23">
    <cfRule type="cellIs" dxfId="305" priority="158" stopIfTrue="1" operator="equal">
      <formula>$E$23</formula>
    </cfRule>
  </conditionalFormatting>
  <conditionalFormatting sqref="K24">
    <cfRule type="cellIs" dxfId="304" priority="133" stopIfTrue="1" operator="equal">
      <formula>$E$24</formula>
    </cfRule>
  </conditionalFormatting>
  <conditionalFormatting sqref="K25">
    <cfRule type="cellIs" dxfId="303" priority="132" stopIfTrue="1" operator="equal">
      <formula>$E$37</formula>
    </cfRule>
  </conditionalFormatting>
  <conditionalFormatting sqref="K26">
    <cfRule type="cellIs" dxfId="302" priority="131" stopIfTrue="1" operator="equal">
      <formula>$E$26</formula>
    </cfRule>
  </conditionalFormatting>
  <conditionalFormatting sqref="K27">
    <cfRule type="cellIs" dxfId="301" priority="130" stopIfTrue="1" operator="equal">
      <formula>$E$27</formula>
    </cfRule>
  </conditionalFormatting>
  <conditionalFormatting sqref="K28">
    <cfRule type="cellIs" dxfId="300" priority="129" stopIfTrue="1" operator="equal">
      <formula>$E$28</formula>
    </cfRule>
  </conditionalFormatting>
  <conditionalFormatting sqref="K35:K40">
    <cfRule type="cellIs" dxfId="299" priority="128" stopIfTrue="1" operator="notEqual">
      <formula>0</formula>
    </cfRule>
  </conditionalFormatting>
  <conditionalFormatting sqref="N35:N41">
    <cfRule type="cellIs" dxfId="298" priority="124" stopIfTrue="1" operator="between">
      <formula>1</formula>
      <formula>0.895</formula>
    </cfRule>
    <cfRule type="cellIs" dxfId="297" priority="125" stopIfTrue="1" operator="between">
      <formula>0.894999999999999</formula>
      <formula>0.845</formula>
    </cfRule>
    <cfRule type="cellIs" dxfId="296" priority="126" stopIfTrue="1" operator="between">
      <formula>0.84499999999999</formula>
      <formula>0.795</formula>
    </cfRule>
    <cfRule type="cellIs" dxfId="295" priority="127" stopIfTrue="1" operator="between">
      <formula>0.794999999999999</formula>
      <formula>0.0001</formula>
    </cfRule>
  </conditionalFormatting>
  <conditionalFormatting sqref="K35">
    <cfRule type="cellIs" dxfId="294" priority="123" stopIfTrue="1" operator="equal">
      <formula>$E$23</formula>
    </cfRule>
  </conditionalFormatting>
  <conditionalFormatting sqref="K36">
    <cfRule type="cellIs" dxfId="293" priority="122" stopIfTrue="1" operator="equal">
      <formula>$E$24</formula>
    </cfRule>
  </conditionalFormatting>
  <conditionalFormatting sqref="K37">
    <cfRule type="cellIs" dxfId="292" priority="121" stopIfTrue="1" operator="equal">
      <formula>$E$37</formula>
    </cfRule>
  </conditionalFormatting>
  <conditionalFormatting sqref="K38">
    <cfRule type="cellIs" dxfId="291" priority="120" stopIfTrue="1" operator="equal">
      <formula>$E$26</formula>
    </cfRule>
  </conditionalFormatting>
  <conditionalFormatting sqref="K39">
    <cfRule type="cellIs" dxfId="290" priority="119" stopIfTrue="1" operator="equal">
      <formula>$E$27</formula>
    </cfRule>
  </conditionalFormatting>
  <conditionalFormatting sqref="K40">
    <cfRule type="cellIs" dxfId="289" priority="118" stopIfTrue="1" operator="equal">
      <formula>$E$28</formula>
    </cfRule>
  </conditionalFormatting>
  <conditionalFormatting sqref="K47:K52">
    <cfRule type="cellIs" dxfId="288" priority="117" stopIfTrue="1" operator="notEqual">
      <formula>0</formula>
    </cfRule>
  </conditionalFormatting>
  <conditionalFormatting sqref="N47:N53">
    <cfRule type="cellIs" dxfId="287" priority="113" stopIfTrue="1" operator="between">
      <formula>1</formula>
      <formula>0.895</formula>
    </cfRule>
    <cfRule type="cellIs" dxfId="286" priority="114" stopIfTrue="1" operator="between">
      <formula>0.894999999999999</formula>
      <formula>0.845</formula>
    </cfRule>
    <cfRule type="cellIs" dxfId="285" priority="115" stopIfTrue="1" operator="between">
      <formula>0.84499999999999</formula>
      <formula>0.795</formula>
    </cfRule>
    <cfRule type="cellIs" dxfId="284" priority="116" stopIfTrue="1" operator="between">
      <formula>0.794999999999999</formula>
      <formula>0.0001</formula>
    </cfRule>
  </conditionalFormatting>
  <conditionalFormatting sqref="K47">
    <cfRule type="cellIs" dxfId="283" priority="112" stopIfTrue="1" operator="equal">
      <formula>$E$23</formula>
    </cfRule>
  </conditionalFormatting>
  <conditionalFormatting sqref="K48">
    <cfRule type="cellIs" dxfId="282" priority="111" stopIfTrue="1" operator="equal">
      <formula>$E$24</formula>
    </cfRule>
  </conditionalFormatting>
  <conditionalFormatting sqref="K49">
    <cfRule type="cellIs" dxfId="281" priority="110" stopIfTrue="1" operator="equal">
      <formula>$E$37</formula>
    </cfRule>
  </conditionalFormatting>
  <conditionalFormatting sqref="K50">
    <cfRule type="cellIs" dxfId="280" priority="109" stopIfTrue="1" operator="equal">
      <formula>$E$26</formula>
    </cfRule>
  </conditionalFormatting>
  <conditionalFormatting sqref="K51">
    <cfRule type="cellIs" dxfId="279" priority="108" stopIfTrue="1" operator="equal">
      <formula>$E$27</formula>
    </cfRule>
  </conditionalFormatting>
  <conditionalFormatting sqref="K52">
    <cfRule type="cellIs" dxfId="278" priority="107" stopIfTrue="1" operator="equal">
      <formula>$E$28</formula>
    </cfRule>
  </conditionalFormatting>
  <conditionalFormatting sqref="K59:K64">
    <cfRule type="cellIs" dxfId="277" priority="106" stopIfTrue="1" operator="notEqual">
      <formula>0</formula>
    </cfRule>
  </conditionalFormatting>
  <conditionalFormatting sqref="N59:N65">
    <cfRule type="cellIs" dxfId="276" priority="102" stopIfTrue="1" operator="between">
      <formula>1</formula>
      <formula>0.895</formula>
    </cfRule>
    <cfRule type="cellIs" dxfId="275" priority="103" stopIfTrue="1" operator="between">
      <formula>0.894999999999999</formula>
      <formula>0.845</formula>
    </cfRule>
    <cfRule type="cellIs" dxfId="274" priority="104" stopIfTrue="1" operator="between">
      <formula>0.84499999999999</formula>
      <formula>0.795</formula>
    </cfRule>
    <cfRule type="cellIs" dxfId="273" priority="105" stopIfTrue="1" operator="between">
      <formula>0.794999999999999</formula>
      <formula>0.0001</formula>
    </cfRule>
  </conditionalFormatting>
  <conditionalFormatting sqref="K59">
    <cfRule type="cellIs" dxfId="272" priority="101" stopIfTrue="1" operator="equal">
      <formula>$E$23</formula>
    </cfRule>
  </conditionalFormatting>
  <conditionalFormatting sqref="K60">
    <cfRule type="cellIs" dxfId="271" priority="100" stopIfTrue="1" operator="equal">
      <formula>$E$24</formula>
    </cfRule>
  </conditionalFormatting>
  <conditionalFormatting sqref="K61">
    <cfRule type="cellIs" dxfId="270" priority="99" stopIfTrue="1" operator="equal">
      <formula>$E$37</formula>
    </cfRule>
  </conditionalFormatting>
  <conditionalFormatting sqref="K62">
    <cfRule type="cellIs" dxfId="269" priority="98" stopIfTrue="1" operator="equal">
      <formula>$E$26</formula>
    </cfRule>
  </conditionalFormatting>
  <conditionalFormatting sqref="K63">
    <cfRule type="cellIs" dxfId="268" priority="97" stopIfTrue="1" operator="equal">
      <formula>$E$27</formula>
    </cfRule>
  </conditionalFormatting>
  <conditionalFormatting sqref="K64">
    <cfRule type="cellIs" dxfId="267" priority="96" stopIfTrue="1" operator="equal">
      <formula>$E$28</formula>
    </cfRule>
  </conditionalFormatting>
  <conditionalFormatting sqref="K71:K76">
    <cfRule type="cellIs" dxfId="266" priority="95" stopIfTrue="1" operator="notEqual">
      <formula>0</formula>
    </cfRule>
  </conditionalFormatting>
  <conditionalFormatting sqref="N71:N77">
    <cfRule type="cellIs" dxfId="265" priority="91" stopIfTrue="1" operator="between">
      <formula>1</formula>
      <formula>0.895</formula>
    </cfRule>
    <cfRule type="cellIs" dxfId="264" priority="92" stopIfTrue="1" operator="between">
      <formula>0.894999999999999</formula>
      <formula>0.845</formula>
    </cfRule>
    <cfRule type="cellIs" dxfId="263" priority="93" stopIfTrue="1" operator="between">
      <formula>0.84499999999999</formula>
      <formula>0.795</formula>
    </cfRule>
    <cfRule type="cellIs" dxfId="262" priority="94" stopIfTrue="1" operator="between">
      <formula>0.794999999999999</formula>
      <formula>0.0001</formula>
    </cfRule>
  </conditionalFormatting>
  <conditionalFormatting sqref="K71">
    <cfRule type="cellIs" dxfId="261" priority="90" stopIfTrue="1" operator="equal">
      <formula>$E$23</formula>
    </cfRule>
  </conditionalFormatting>
  <conditionalFormatting sqref="K72">
    <cfRule type="cellIs" dxfId="260" priority="89" stopIfTrue="1" operator="equal">
      <formula>$E$24</formula>
    </cfRule>
  </conditionalFormatting>
  <conditionalFormatting sqref="K73">
    <cfRule type="cellIs" dxfId="259" priority="88" stopIfTrue="1" operator="equal">
      <formula>$E$37</formula>
    </cfRule>
  </conditionalFormatting>
  <conditionalFormatting sqref="K74">
    <cfRule type="cellIs" dxfId="258" priority="87" stopIfTrue="1" operator="equal">
      <formula>$E$26</formula>
    </cfRule>
  </conditionalFormatting>
  <conditionalFormatting sqref="K75">
    <cfRule type="cellIs" dxfId="257" priority="86" stopIfTrue="1" operator="equal">
      <formula>$E$27</formula>
    </cfRule>
  </conditionalFormatting>
  <conditionalFormatting sqref="K76">
    <cfRule type="cellIs" dxfId="256" priority="85" stopIfTrue="1" operator="equal">
      <formula>$E$28</formula>
    </cfRule>
  </conditionalFormatting>
  <conditionalFormatting sqref="K83:K88">
    <cfRule type="cellIs" dxfId="255" priority="84" stopIfTrue="1" operator="notEqual">
      <formula>0</formula>
    </cfRule>
  </conditionalFormatting>
  <conditionalFormatting sqref="N83:N89">
    <cfRule type="cellIs" dxfId="254" priority="80" stopIfTrue="1" operator="between">
      <formula>1</formula>
      <formula>0.895</formula>
    </cfRule>
    <cfRule type="cellIs" dxfId="253" priority="81" stopIfTrue="1" operator="between">
      <formula>0.894999999999999</formula>
      <formula>0.845</formula>
    </cfRule>
    <cfRule type="cellIs" dxfId="252" priority="82" stopIfTrue="1" operator="between">
      <formula>0.84499999999999</formula>
      <formula>0.795</formula>
    </cfRule>
    <cfRule type="cellIs" dxfId="251" priority="83" stopIfTrue="1" operator="between">
      <formula>0.794999999999999</formula>
      <formula>0.0001</formula>
    </cfRule>
  </conditionalFormatting>
  <conditionalFormatting sqref="K83">
    <cfRule type="cellIs" dxfId="250" priority="79" stopIfTrue="1" operator="equal">
      <formula>$E$23</formula>
    </cfRule>
  </conditionalFormatting>
  <conditionalFormatting sqref="K84">
    <cfRule type="cellIs" dxfId="249" priority="78" stopIfTrue="1" operator="equal">
      <formula>$E$24</formula>
    </cfRule>
  </conditionalFormatting>
  <conditionalFormatting sqref="K85">
    <cfRule type="cellIs" dxfId="248" priority="77" stopIfTrue="1" operator="equal">
      <formula>$E$37</formula>
    </cfRule>
  </conditionalFormatting>
  <conditionalFormatting sqref="K86">
    <cfRule type="cellIs" dxfId="247" priority="76" stopIfTrue="1" operator="equal">
      <formula>$E$26</formula>
    </cfRule>
  </conditionalFormatting>
  <conditionalFormatting sqref="K87">
    <cfRule type="cellIs" dxfId="246" priority="75" stopIfTrue="1" operator="equal">
      <formula>$E$27</formula>
    </cfRule>
  </conditionalFormatting>
  <conditionalFormatting sqref="K88">
    <cfRule type="cellIs" dxfId="245" priority="74" stopIfTrue="1" operator="equal">
      <formula>$E$28</formula>
    </cfRule>
  </conditionalFormatting>
  <conditionalFormatting sqref="K95:K100">
    <cfRule type="cellIs" dxfId="244" priority="73" stopIfTrue="1" operator="notEqual">
      <formula>0</formula>
    </cfRule>
  </conditionalFormatting>
  <conditionalFormatting sqref="N95:N101">
    <cfRule type="cellIs" dxfId="243" priority="69" stopIfTrue="1" operator="between">
      <formula>1</formula>
      <formula>0.895</formula>
    </cfRule>
    <cfRule type="cellIs" dxfId="242" priority="70" stopIfTrue="1" operator="between">
      <formula>0.894999999999999</formula>
      <formula>0.845</formula>
    </cfRule>
    <cfRule type="cellIs" dxfId="241" priority="71" stopIfTrue="1" operator="between">
      <formula>0.84499999999999</formula>
      <formula>0.795</formula>
    </cfRule>
    <cfRule type="cellIs" dxfId="240" priority="72" stopIfTrue="1" operator="between">
      <formula>0.794999999999999</formula>
      <formula>0.0001</formula>
    </cfRule>
  </conditionalFormatting>
  <conditionalFormatting sqref="K95">
    <cfRule type="cellIs" dxfId="239" priority="68" stopIfTrue="1" operator="equal">
      <formula>$E$23</formula>
    </cfRule>
  </conditionalFormatting>
  <conditionalFormatting sqref="K96">
    <cfRule type="cellIs" dxfId="238" priority="67" stopIfTrue="1" operator="equal">
      <formula>$E$24</formula>
    </cfRule>
  </conditionalFormatting>
  <conditionalFormatting sqref="K97">
    <cfRule type="cellIs" dxfId="237" priority="66" stopIfTrue="1" operator="equal">
      <formula>$E$37</formula>
    </cfRule>
  </conditionalFormatting>
  <conditionalFormatting sqref="K98">
    <cfRule type="cellIs" dxfId="236" priority="65" stopIfTrue="1" operator="equal">
      <formula>$E$26</formula>
    </cfRule>
  </conditionalFormatting>
  <conditionalFormatting sqref="K99">
    <cfRule type="cellIs" dxfId="235" priority="64" stopIfTrue="1" operator="equal">
      <formula>$E$27</formula>
    </cfRule>
  </conditionalFormatting>
  <conditionalFormatting sqref="K100">
    <cfRule type="cellIs" dxfId="234" priority="63" stopIfTrue="1" operator="equal">
      <formula>$E$28</formula>
    </cfRule>
  </conditionalFormatting>
  <conditionalFormatting sqref="K107:K112">
    <cfRule type="cellIs" dxfId="233" priority="62" stopIfTrue="1" operator="notEqual">
      <formula>0</formula>
    </cfRule>
  </conditionalFormatting>
  <conditionalFormatting sqref="N107:N113">
    <cfRule type="cellIs" dxfId="232" priority="58" stopIfTrue="1" operator="between">
      <formula>1</formula>
      <formula>0.895</formula>
    </cfRule>
    <cfRule type="cellIs" dxfId="231" priority="59" stopIfTrue="1" operator="between">
      <formula>0.894999999999999</formula>
      <formula>0.845</formula>
    </cfRule>
    <cfRule type="cellIs" dxfId="230" priority="60" stopIfTrue="1" operator="between">
      <formula>0.84499999999999</formula>
      <formula>0.795</formula>
    </cfRule>
    <cfRule type="cellIs" dxfId="229" priority="61" stopIfTrue="1" operator="between">
      <formula>0.794999999999999</formula>
      <formula>0.0001</formula>
    </cfRule>
  </conditionalFormatting>
  <conditionalFormatting sqref="K107">
    <cfRule type="cellIs" dxfId="228" priority="57" stopIfTrue="1" operator="equal">
      <formula>$E$23</formula>
    </cfRule>
  </conditionalFormatting>
  <conditionalFormatting sqref="K108">
    <cfRule type="cellIs" dxfId="227" priority="56" stopIfTrue="1" operator="equal">
      <formula>$E$24</formula>
    </cfRule>
  </conditionalFormatting>
  <conditionalFormatting sqref="K109">
    <cfRule type="cellIs" dxfId="226" priority="55" stopIfTrue="1" operator="equal">
      <formula>$E$37</formula>
    </cfRule>
  </conditionalFormatting>
  <conditionalFormatting sqref="K110">
    <cfRule type="cellIs" dxfId="225" priority="54" stopIfTrue="1" operator="equal">
      <formula>$E$26</formula>
    </cfRule>
  </conditionalFormatting>
  <conditionalFormatting sqref="K111">
    <cfRule type="cellIs" dxfId="224" priority="53" stopIfTrue="1" operator="equal">
      <formula>$E$27</formula>
    </cfRule>
  </conditionalFormatting>
  <conditionalFormatting sqref="K112">
    <cfRule type="cellIs" dxfId="223" priority="52" stopIfTrue="1" operator="equal">
      <formula>$E$28</formula>
    </cfRule>
  </conditionalFormatting>
  <conditionalFormatting sqref="K119:K124">
    <cfRule type="cellIs" dxfId="222" priority="51" stopIfTrue="1" operator="notEqual">
      <formula>0</formula>
    </cfRule>
  </conditionalFormatting>
  <conditionalFormatting sqref="N119:N125">
    <cfRule type="cellIs" dxfId="221" priority="47" stopIfTrue="1" operator="between">
      <formula>1</formula>
      <formula>0.895</formula>
    </cfRule>
    <cfRule type="cellIs" dxfId="220" priority="48" stopIfTrue="1" operator="between">
      <formula>0.894999999999999</formula>
      <formula>0.845</formula>
    </cfRule>
    <cfRule type="cellIs" dxfId="219" priority="49" stopIfTrue="1" operator="between">
      <formula>0.84499999999999</formula>
      <formula>0.795</formula>
    </cfRule>
    <cfRule type="cellIs" dxfId="218" priority="50" stopIfTrue="1" operator="between">
      <formula>0.794999999999999</formula>
      <formula>0.0001</formula>
    </cfRule>
  </conditionalFormatting>
  <conditionalFormatting sqref="K119">
    <cfRule type="cellIs" dxfId="217" priority="46" stopIfTrue="1" operator="equal">
      <formula>$E$23</formula>
    </cfRule>
  </conditionalFormatting>
  <conditionalFormatting sqref="K120">
    <cfRule type="cellIs" dxfId="216" priority="45" stopIfTrue="1" operator="equal">
      <formula>$E$24</formula>
    </cfRule>
  </conditionalFormatting>
  <conditionalFormatting sqref="K121">
    <cfRule type="cellIs" dxfId="215" priority="44" stopIfTrue="1" operator="equal">
      <formula>$E$37</formula>
    </cfRule>
  </conditionalFormatting>
  <conditionalFormatting sqref="K122">
    <cfRule type="cellIs" dxfId="214" priority="43" stopIfTrue="1" operator="equal">
      <formula>$E$26</formula>
    </cfRule>
  </conditionalFormatting>
  <conditionalFormatting sqref="K123">
    <cfRule type="cellIs" dxfId="213" priority="42" stopIfTrue="1" operator="equal">
      <formula>$E$27</formula>
    </cfRule>
  </conditionalFormatting>
  <conditionalFormatting sqref="K124">
    <cfRule type="cellIs" dxfId="212" priority="41" stopIfTrue="1" operator="equal">
      <formula>$E$28</formula>
    </cfRule>
  </conditionalFormatting>
  <conditionalFormatting sqref="K131:K136">
    <cfRule type="cellIs" dxfId="211" priority="40" stopIfTrue="1" operator="notEqual">
      <formula>0</formula>
    </cfRule>
  </conditionalFormatting>
  <conditionalFormatting sqref="N131:N137">
    <cfRule type="cellIs" dxfId="210" priority="36" stopIfTrue="1" operator="between">
      <formula>1</formula>
      <formula>0.895</formula>
    </cfRule>
    <cfRule type="cellIs" dxfId="209" priority="37" stopIfTrue="1" operator="between">
      <formula>0.894999999999999</formula>
      <formula>0.845</formula>
    </cfRule>
    <cfRule type="cellIs" dxfId="208" priority="38" stopIfTrue="1" operator="between">
      <formula>0.84499999999999</formula>
      <formula>0.795</formula>
    </cfRule>
    <cfRule type="cellIs" dxfId="207" priority="39" stopIfTrue="1" operator="between">
      <formula>0.794999999999999</formula>
      <formula>0.0001</formula>
    </cfRule>
  </conditionalFormatting>
  <conditionalFormatting sqref="K131">
    <cfRule type="cellIs" dxfId="206" priority="35" stopIfTrue="1" operator="equal">
      <formula>$E$23</formula>
    </cfRule>
  </conditionalFormatting>
  <conditionalFormatting sqref="K132">
    <cfRule type="cellIs" dxfId="205" priority="34" stopIfTrue="1" operator="equal">
      <formula>$E$24</formula>
    </cfRule>
  </conditionalFormatting>
  <conditionalFormatting sqref="K133">
    <cfRule type="cellIs" dxfId="204" priority="33" stopIfTrue="1" operator="equal">
      <formula>$E$37</formula>
    </cfRule>
  </conditionalFormatting>
  <conditionalFormatting sqref="K134">
    <cfRule type="cellIs" dxfId="203" priority="32" stopIfTrue="1" operator="equal">
      <formula>$E$26</formula>
    </cfRule>
  </conditionalFormatting>
  <conditionalFormatting sqref="K135">
    <cfRule type="cellIs" dxfId="202" priority="31" stopIfTrue="1" operator="equal">
      <formula>$E$27</formula>
    </cfRule>
  </conditionalFormatting>
  <conditionalFormatting sqref="K136">
    <cfRule type="cellIs" dxfId="201" priority="30" stopIfTrue="1" operator="equal">
      <formula>$E$28</formula>
    </cfRule>
  </conditionalFormatting>
  <conditionalFormatting sqref="K143:K148">
    <cfRule type="cellIs" dxfId="200" priority="29" stopIfTrue="1" operator="notEqual">
      <formula>0</formula>
    </cfRule>
  </conditionalFormatting>
  <conditionalFormatting sqref="N143:N149">
    <cfRule type="cellIs" dxfId="199" priority="25" stopIfTrue="1" operator="between">
      <formula>1</formula>
      <formula>0.895</formula>
    </cfRule>
    <cfRule type="cellIs" dxfId="198" priority="26" stopIfTrue="1" operator="between">
      <formula>0.894999999999999</formula>
      <formula>0.845</formula>
    </cfRule>
    <cfRule type="cellIs" dxfId="197" priority="27" stopIfTrue="1" operator="between">
      <formula>0.84499999999999</formula>
      <formula>0.795</formula>
    </cfRule>
    <cfRule type="cellIs" dxfId="196" priority="28" stopIfTrue="1" operator="between">
      <formula>0.794999999999999</formula>
      <formula>0.0001</formula>
    </cfRule>
  </conditionalFormatting>
  <conditionalFormatting sqref="K143">
    <cfRule type="cellIs" dxfId="195" priority="24" stopIfTrue="1" operator="equal">
      <formula>$E$23</formula>
    </cfRule>
  </conditionalFormatting>
  <conditionalFormatting sqref="K144">
    <cfRule type="cellIs" dxfId="194" priority="23" stopIfTrue="1" operator="equal">
      <formula>$E$24</formula>
    </cfRule>
  </conditionalFormatting>
  <conditionalFormatting sqref="K145">
    <cfRule type="cellIs" dxfId="193" priority="22" stopIfTrue="1" operator="equal">
      <formula>$E$37</formula>
    </cfRule>
  </conditionalFormatting>
  <conditionalFormatting sqref="K146">
    <cfRule type="cellIs" dxfId="192" priority="21" stopIfTrue="1" operator="equal">
      <formula>$E$26</formula>
    </cfRule>
  </conditionalFormatting>
  <conditionalFormatting sqref="K147">
    <cfRule type="cellIs" dxfId="191" priority="20" stopIfTrue="1" operator="equal">
      <formula>$E$27</formula>
    </cfRule>
  </conditionalFormatting>
  <conditionalFormatting sqref="K148">
    <cfRule type="cellIs" dxfId="190" priority="19" stopIfTrue="1" operator="equal">
      <formula>$E$28</formula>
    </cfRule>
  </conditionalFormatting>
  <conditionalFormatting sqref="K155:K160">
    <cfRule type="cellIs" dxfId="189" priority="18" stopIfTrue="1" operator="notEqual">
      <formula>0</formula>
    </cfRule>
  </conditionalFormatting>
  <conditionalFormatting sqref="N155:N161">
    <cfRule type="cellIs" dxfId="188" priority="14" stopIfTrue="1" operator="between">
      <formula>1</formula>
      <formula>0.895</formula>
    </cfRule>
    <cfRule type="cellIs" dxfId="187" priority="15" stopIfTrue="1" operator="between">
      <formula>0.894999999999999</formula>
      <formula>0.845</formula>
    </cfRule>
    <cfRule type="cellIs" dxfId="186" priority="16" stopIfTrue="1" operator="between">
      <formula>0.84499999999999</formula>
      <formula>0.795</formula>
    </cfRule>
    <cfRule type="cellIs" dxfId="185" priority="17" stopIfTrue="1" operator="between">
      <formula>0.794999999999999</formula>
      <formula>0.0001</formula>
    </cfRule>
  </conditionalFormatting>
  <conditionalFormatting sqref="K155">
    <cfRule type="cellIs" dxfId="184" priority="13" stopIfTrue="1" operator="equal">
      <formula>$E$23</formula>
    </cfRule>
  </conditionalFormatting>
  <conditionalFormatting sqref="K156">
    <cfRule type="cellIs" dxfId="183" priority="12" stopIfTrue="1" operator="equal">
      <formula>$E$24</formula>
    </cfRule>
  </conditionalFormatting>
  <conditionalFormatting sqref="K157">
    <cfRule type="cellIs" dxfId="182" priority="11" stopIfTrue="1" operator="equal">
      <formula>$E$37</formula>
    </cfRule>
  </conditionalFormatting>
  <conditionalFormatting sqref="K158">
    <cfRule type="cellIs" dxfId="181" priority="10" stopIfTrue="1" operator="equal">
      <formula>$E$26</formula>
    </cfRule>
  </conditionalFormatting>
  <conditionalFormatting sqref="K159">
    <cfRule type="cellIs" dxfId="180" priority="9" stopIfTrue="1" operator="equal">
      <formula>$E$27</formula>
    </cfRule>
  </conditionalFormatting>
  <conditionalFormatting sqref="K160">
    <cfRule type="cellIs" dxfId="179" priority="8" stopIfTrue="1" operator="equal">
      <formula>$E$28</formula>
    </cfRule>
  </conditionalFormatting>
  <conditionalFormatting sqref="K11:K16">
    <cfRule type="cellIs" dxfId="178" priority="7" stopIfTrue="1" operator="notEqual">
      <formula>0</formula>
    </cfRule>
  </conditionalFormatting>
  <conditionalFormatting sqref="K11">
    <cfRule type="cellIs" dxfId="177" priority="6" stopIfTrue="1" operator="equal">
      <formula>$E$11</formula>
    </cfRule>
  </conditionalFormatting>
  <conditionalFormatting sqref="K12">
    <cfRule type="cellIs" dxfId="176" priority="5" stopIfTrue="1" operator="equal">
      <formula>$E$12</formula>
    </cfRule>
  </conditionalFormatting>
  <conditionalFormatting sqref="K13">
    <cfRule type="cellIs" dxfId="175" priority="4" stopIfTrue="1" operator="equal">
      <formula>$E$13</formula>
    </cfRule>
  </conditionalFormatting>
  <conditionalFormatting sqref="K14">
    <cfRule type="cellIs" dxfId="174" priority="3" stopIfTrue="1" operator="equal">
      <formula>$E$14</formula>
    </cfRule>
  </conditionalFormatting>
  <conditionalFormatting sqref="K15">
    <cfRule type="cellIs" dxfId="173" priority="2" stopIfTrue="1" operator="equal">
      <formula>$E$15</formula>
    </cfRule>
  </conditionalFormatting>
  <conditionalFormatting sqref="K16">
    <cfRule type="cellIs" dxfId="172" priority="1" stopIfTrue="1" operator="equal">
      <formula>$E$16</formula>
    </cfRule>
  </conditionalFormatting>
  <printOptions horizontalCentered="1"/>
  <pageMargins left="0.25" right="0.25" top="0.25" bottom="0.8" header="0" footer="0.25"/>
  <pageSetup scale="88" fitToHeight="3" orientation="portrait" r:id="rId1"/>
  <headerFooter>
    <oddFooter xml:space="preserve">&amp;L&amp;9© 2015 Horizon Management Services LLC
Date and Time Printed:  &amp;D    &amp;T
Filename:  &amp;Z&amp;F
Worksheet:  &amp;A      Page &amp;P of &amp;N&amp;R
</oddFooter>
  </headerFooter>
  <rowBreaks count="2" manualBreakCount="2">
    <brk id="66" min="1" max="14" man="1"/>
    <brk id="114" min="1" max="14"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00080"/>
    <pageSetUpPr fitToPage="1"/>
  </sheetPr>
  <dimension ref="A1:AM50"/>
  <sheetViews>
    <sheetView showGridLines="0" showRowColHeaders="0" zoomScaleNormal="100" zoomScaleSheetLayoutView="100" workbookViewId="0">
      <pane ySplit="16" topLeftCell="A17" activePane="bottomLeft" state="frozen"/>
      <selection pane="bottomLeft" activeCell="W10" sqref="W10"/>
    </sheetView>
  </sheetViews>
  <sheetFormatPr defaultColWidth="0" defaultRowHeight="15" zeroHeight="1" x14ac:dyDescent="0.25"/>
  <cols>
    <col min="1" max="1" width="5.85546875" style="422" customWidth="1"/>
    <col min="2" max="2" width="0.42578125" style="287" customWidth="1"/>
    <col min="3" max="3" width="12" style="59" customWidth="1"/>
    <col min="4" max="4" width="4.85546875" style="59" customWidth="1"/>
    <col min="5" max="8" width="4.5703125" style="59" customWidth="1"/>
    <col min="9" max="9" width="5.85546875" style="59" customWidth="1"/>
    <col min="10" max="15" width="3.5703125" style="59" customWidth="1"/>
    <col min="16" max="16" width="5.85546875" style="59" customWidth="1"/>
    <col min="17" max="17" width="7.42578125" style="59" customWidth="1"/>
    <col min="18" max="21" width="3.5703125" style="59" customWidth="1"/>
    <col min="22" max="22" width="5.85546875" style="59" customWidth="1"/>
    <col min="23" max="23" width="7.42578125" style="59" customWidth="1"/>
    <col min="24" max="27" width="3.5703125" style="59" customWidth="1"/>
    <col min="28" max="28" width="5.85546875" style="59" customWidth="1"/>
    <col min="29" max="29" width="7.42578125" style="59" customWidth="1"/>
    <col min="30" max="30" width="0.5703125" style="59" customWidth="1"/>
    <col min="31" max="36" width="9.140625" style="59" hidden="1" customWidth="1"/>
    <col min="37" max="16384" width="0" style="59" hidden="1"/>
  </cols>
  <sheetData>
    <row r="1" spans="1:38" x14ac:dyDescent="0.25">
      <c r="C1" s="557" t="str">
        <f>IF(OR(LEFT(CompiliationCompany,1)="(",CompiliationCompany=""),"Go to ENTER RESULTS tab &amp; Enter Company NAME at top of screen",CompiliationCompany)</f>
        <v>Go to ENTER RESULTS tab &amp; Enter Company NAME at top of screen</v>
      </c>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row>
    <row r="2" spans="1:38" x14ac:dyDescent="0.25">
      <c r="C2" s="557" t="str">
        <f>IF(OR(LEFT(CompiliationLocation,1)="(",CompiliationLocation=""),"Go to ENTER RESULTS tab &amp; Enter Company LOCATION at top of screen",CompiliationLocation)</f>
        <v>Go to ENTER RESULTS tab &amp; Enter Company LOCATION at top of screen</v>
      </c>
      <c r="D2" s="559"/>
      <c r="E2" s="559"/>
      <c r="F2" s="559"/>
      <c r="G2" s="559"/>
      <c r="H2" s="559"/>
      <c r="I2" s="559"/>
      <c r="J2" s="559"/>
      <c r="K2" s="559"/>
      <c r="L2" s="559"/>
      <c r="M2" s="559"/>
      <c r="N2" s="559"/>
      <c r="O2" s="559"/>
      <c r="P2" s="559"/>
      <c r="Q2" s="559"/>
      <c r="R2" s="559"/>
      <c r="S2" s="559"/>
      <c r="T2" s="559"/>
      <c r="U2" s="559"/>
      <c r="V2" s="559"/>
      <c r="W2" s="559"/>
      <c r="X2" s="559"/>
      <c r="Y2" s="559"/>
      <c r="Z2" s="559"/>
      <c r="AA2" s="559"/>
      <c r="AB2" s="559"/>
      <c r="AC2" s="559"/>
    </row>
    <row r="3" spans="1:38" x14ac:dyDescent="0.25">
      <c r="C3" s="560" t="str">
        <f>IF(OR(LEFT(CompiliationDate,1)="(",CompiliationDate=""),"Go to ENTER RESULTS tab &amp; Enter DATE of Review at top of screen",CONCATENATE("REVIEWS PERFORMED AS OF ",MONTH(CompiliationDate),"/",DAY(CompiliationDate),"/",YEAR(CompiliationDate)))</f>
        <v>Go to ENTER RESULTS tab &amp; Enter DATE of Review at top of screen</v>
      </c>
      <c r="D3" s="559"/>
      <c r="E3" s="559"/>
      <c r="F3" s="559"/>
      <c r="G3" s="559"/>
      <c r="H3" s="559"/>
      <c r="I3" s="559"/>
      <c r="J3" s="559"/>
      <c r="K3" s="559"/>
      <c r="L3" s="559"/>
      <c r="M3" s="559"/>
      <c r="N3" s="559"/>
      <c r="O3" s="559"/>
      <c r="P3" s="559"/>
      <c r="Q3" s="559"/>
      <c r="R3" s="559"/>
      <c r="S3" s="559"/>
      <c r="T3" s="559"/>
      <c r="U3" s="559"/>
      <c r="V3" s="559"/>
      <c r="W3" s="559"/>
      <c r="X3" s="559"/>
      <c r="Y3" s="559"/>
      <c r="Z3" s="559"/>
      <c r="AA3" s="559"/>
      <c r="AB3" s="559"/>
      <c r="AC3" s="559"/>
    </row>
    <row r="4" spans="1:38" ht="8.25" customHeight="1" x14ac:dyDescent="0.25">
      <c r="A4" s="446"/>
      <c r="B4" s="448"/>
      <c r="D4" s="61"/>
      <c r="O4" s="62"/>
      <c r="U4" s="62"/>
      <c r="AA4" s="62"/>
    </row>
    <row r="5" spans="1:38" s="131" customFormat="1" ht="18" customHeight="1" x14ac:dyDescent="0.25">
      <c r="A5" s="447"/>
      <c r="B5" s="449"/>
      <c r="C5" s="138"/>
      <c r="D5" s="139"/>
      <c r="E5" s="574" t="s">
        <v>86</v>
      </c>
      <c r="F5" s="575"/>
      <c r="G5" s="575"/>
      <c r="H5" s="575"/>
      <c r="I5" s="575"/>
      <c r="J5" s="575"/>
      <c r="K5" s="575"/>
      <c r="L5" s="575"/>
      <c r="M5" s="575"/>
      <c r="O5" s="626" t="str">
        <f>IF(AND(TotalAnswersNeeded&lt;&gt;0,TotalAnswersNeeded2&lt;&gt;0,TotalAnswersNeeded3&lt;&gt;0),"YOU HAVE UNANSWERED QUESTIONS WHICH WILL AFFECT THE CALCULATED RESULTS - Go to Enter Results tab.","")</f>
        <v/>
      </c>
      <c r="P5" s="627"/>
      <c r="Q5" s="627"/>
      <c r="R5" s="627"/>
      <c r="S5" s="627"/>
      <c r="T5" s="627"/>
      <c r="U5" s="627"/>
      <c r="V5" s="627"/>
      <c r="W5" s="627"/>
      <c r="X5" s="627"/>
      <c r="Y5" s="627"/>
      <c r="Z5" s="627"/>
      <c r="AA5" s="624" t="s">
        <v>184</v>
      </c>
      <c r="AB5" s="625"/>
      <c r="AC5" s="625"/>
    </row>
    <row r="6" spans="1:38" ht="27" customHeight="1" x14ac:dyDescent="0.25">
      <c r="C6" s="112"/>
      <c r="D6" s="113"/>
      <c r="E6" s="565" t="s">
        <v>188</v>
      </c>
      <c r="F6" s="566"/>
      <c r="G6" s="566"/>
      <c r="H6" s="567"/>
      <c r="I6" s="568" t="s">
        <v>185</v>
      </c>
      <c r="J6" s="569"/>
      <c r="K6" s="643" t="s">
        <v>203</v>
      </c>
      <c r="L6" s="644"/>
      <c r="M6" s="644"/>
      <c r="O6" s="627"/>
      <c r="P6" s="627"/>
      <c r="Q6" s="627"/>
      <c r="R6" s="627"/>
      <c r="S6" s="627"/>
      <c r="T6" s="627"/>
      <c r="U6" s="627"/>
      <c r="V6" s="627"/>
      <c r="W6" s="627"/>
      <c r="X6" s="627"/>
      <c r="Y6" s="627"/>
      <c r="Z6" s="627"/>
      <c r="AA6" s="625"/>
      <c r="AB6" s="625"/>
      <c r="AC6" s="625"/>
      <c r="AE6" s="629" t="s">
        <v>51</v>
      </c>
      <c r="AF6" s="639"/>
      <c r="AG6" s="629" t="s">
        <v>96</v>
      </c>
      <c r="AH6" s="630"/>
      <c r="AI6" s="608" t="s">
        <v>97</v>
      </c>
      <c r="AJ6" s="609"/>
      <c r="AK6" s="608" t="s">
        <v>98</v>
      </c>
      <c r="AL6" s="609"/>
    </row>
    <row r="7" spans="1:38" ht="19.5" customHeight="1" x14ac:dyDescent="0.25">
      <c r="C7" s="114"/>
      <c r="D7" s="115"/>
      <c r="E7" s="17">
        <v>1</v>
      </c>
      <c r="F7" s="18">
        <v>2</v>
      </c>
      <c r="G7" s="18">
        <v>3</v>
      </c>
      <c r="H7" s="19">
        <v>4</v>
      </c>
      <c r="I7" s="570"/>
      <c r="J7" s="571"/>
      <c r="K7" s="645"/>
      <c r="L7" s="646"/>
      <c r="M7" s="646"/>
      <c r="O7" s="628"/>
      <c r="P7" s="628"/>
      <c r="Q7" s="628"/>
      <c r="R7" s="628"/>
      <c r="S7" s="628"/>
      <c r="T7" s="628"/>
      <c r="U7" s="628"/>
      <c r="V7" s="628"/>
      <c r="W7" s="628"/>
      <c r="X7" s="628"/>
      <c r="Y7" s="628"/>
      <c r="Z7" s="628"/>
      <c r="AA7" s="625"/>
      <c r="AB7" s="625"/>
      <c r="AC7" s="625"/>
      <c r="AE7" s="631"/>
      <c r="AF7" s="640"/>
      <c r="AG7" s="631"/>
      <c r="AH7" s="632"/>
      <c r="AI7" s="610"/>
      <c r="AJ7" s="611"/>
      <c r="AK7" s="610"/>
      <c r="AL7" s="611"/>
    </row>
    <row r="8" spans="1:38" x14ac:dyDescent="0.25">
      <c r="C8" s="116" t="s">
        <v>3</v>
      </c>
      <c r="D8" s="117"/>
      <c r="E8" s="118">
        <f t="shared" ref="E8:H13" si="0">(E21+L21+R21+X21)+(E32+L32+R32+X32)+(E43+L43+R43+X43)</f>
        <v>0</v>
      </c>
      <c r="F8" s="119">
        <f t="shared" si="0"/>
        <v>0</v>
      </c>
      <c r="G8" s="119">
        <f>(G21+N21+T21+Z21)+(G32+N32+T32+Z32)+(G43+N43+T43+Z43)</f>
        <v>0</v>
      </c>
      <c r="H8" s="119">
        <f t="shared" si="0"/>
        <v>0</v>
      </c>
      <c r="I8" s="572" t="str">
        <f>IF(NeededMgmt=0,IF('Report - Detail'!I12&lt;&gt;"-",((E8*1)+(F8*2)+(G8*3)+(H8*4))/SUM(E8:H8),"-"),"")</f>
        <v>-</v>
      </c>
      <c r="J8" s="573"/>
      <c r="K8" s="647" t="str">
        <f>IF(NeededMgmt=0,IF('Report - Detail'!I12&lt;&gt;"-",((E8*1)+(F8*2)+(G8*3)+(H8*4))/(SUM(E8:H8)*4),"-"),"")</f>
        <v>-</v>
      </c>
      <c r="L8" s="648"/>
      <c r="M8" s="648"/>
      <c r="N8" s="289">
        <f>'Report - Detail'!I6</f>
        <v>0</v>
      </c>
      <c r="O8" s="628"/>
      <c r="P8" s="628"/>
      <c r="Q8" s="628"/>
      <c r="R8" s="628"/>
      <c r="S8" s="628"/>
      <c r="T8" s="628"/>
      <c r="U8" s="628"/>
      <c r="V8" s="628"/>
      <c r="W8" s="628"/>
      <c r="X8" s="628"/>
      <c r="Y8" s="628"/>
      <c r="Z8" s="628"/>
      <c r="AA8" s="625"/>
      <c r="AB8" s="625"/>
      <c r="AC8" s="625"/>
      <c r="AE8" s="620">
        <f t="shared" ref="AE8:AE13" si="1">(E8*1)+(F8*2)+(G8*3)+(H8*4)</f>
        <v>0</v>
      </c>
      <c r="AF8" s="621"/>
      <c r="AG8" s="633">
        <f>PointsManagement</f>
        <v>120</v>
      </c>
      <c r="AH8" s="634"/>
      <c r="AI8" s="616" t="str">
        <f t="shared" ref="AI8:AI14" si="2">IF((12-COUNTIF(PersonTotals,0))&gt;0,ROUND(AG8*(12-COUNTIF(PersonTotals,0)),0),"-")</f>
        <v>-</v>
      </c>
      <c r="AJ8" s="617"/>
      <c r="AK8" s="616" t="str">
        <f t="shared" ref="AK8:AK14" si="3">IF((12-COUNTIF(PersonTotals,0))&gt;0,ROUND(AE8/(12-COUNTIF(PersonTotals,0)),0),"-")</f>
        <v>-</v>
      </c>
      <c r="AL8" s="617"/>
    </row>
    <row r="9" spans="1:38" ht="15.75" customHeight="1" thickBot="1" x14ac:dyDescent="0.25">
      <c r="C9" s="120" t="s">
        <v>4</v>
      </c>
      <c r="D9" s="100"/>
      <c r="E9" s="121">
        <f t="shared" si="0"/>
        <v>0</v>
      </c>
      <c r="F9" s="122">
        <f t="shared" si="0"/>
        <v>0</v>
      </c>
      <c r="G9" s="122">
        <f t="shared" si="0"/>
        <v>0</v>
      </c>
      <c r="H9" s="122">
        <f t="shared" si="0"/>
        <v>0</v>
      </c>
      <c r="I9" s="561" t="str">
        <f>IF(NeededFin=0,IF('Report - Detail'!L12&lt;&gt;"-",((E9*1)+(F9*2)+(G9*3)+(H9*4))/SUM(E9:H9),"-"),"")</f>
        <v>-</v>
      </c>
      <c r="J9" s="562"/>
      <c r="K9" s="637" t="str">
        <f>IF(NeededFin=0,IF('Report - Detail'!L12&lt;&gt;"-",((E9*1)+(F9*2)+(G9*3)+(H9*4))/(SUM(E9:H9)*4),"-"),"")</f>
        <v>-</v>
      </c>
      <c r="L9" s="638"/>
      <c r="M9" s="638"/>
      <c r="N9" s="289">
        <f>'Report - Detail'!L6</f>
        <v>0</v>
      </c>
      <c r="O9" s="628"/>
      <c r="P9" s="628"/>
      <c r="Q9" s="628"/>
      <c r="R9" s="628"/>
      <c r="S9" s="628"/>
      <c r="T9" s="628"/>
      <c r="U9" s="628"/>
      <c r="V9" s="628"/>
      <c r="W9" s="628"/>
      <c r="X9" s="628"/>
      <c r="Y9" s="628"/>
      <c r="Z9" s="628"/>
      <c r="AA9" s="232"/>
      <c r="AB9" s="232"/>
      <c r="AC9" s="459" t="str">
        <f>Version</f>
        <v>Version 7.0</v>
      </c>
      <c r="AE9" s="622">
        <f t="shared" si="1"/>
        <v>0</v>
      </c>
      <c r="AF9" s="623"/>
      <c r="AG9" s="635">
        <f>PointsFinance</f>
        <v>72</v>
      </c>
      <c r="AH9" s="636"/>
      <c r="AI9" s="612" t="str">
        <f t="shared" si="2"/>
        <v>-</v>
      </c>
      <c r="AJ9" s="613"/>
      <c r="AK9" s="612" t="str">
        <f t="shared" si="3"/>
        <v>-</v>
      </c>
      <c r="AL9" s="613"/>
    </row>
    <row r="10" spans="1:38" ht="15.75" thickBot="1" x14ac:dyDescent="0.3">
      <c r="C10" s="120" t="s">
        <v>5</v>
      </c>
      <c r="D10" s="100"/>
      <c r="E10" s="121">
        <f t="shared" si="0"/>
        <v>0</v>
      </c>
      <c r="F10" s="122">
        <f t="shared" si="0"/>
        <v>0</v>
      </c>
      <c r="G10" s="122">
        <f t="shared" si="0"/>
        <v>0</v>
      </c>
      <c r="H10" s="122">
        <f t="shared" si="0"/>
        <v>0</v>
      </c>
      <c r="I10" s="561" t="str">
        <f>IF(NeededSales=0,IF('Report - Detail'!O12&lt;&gt;"-",((E10*1)+(F10*2)+(G10*3)+(H10*4))/SUM(E10:H10),"-"),"")</f>
        <v>-</v>
      </c>
      <c r="J10" s="562"/>
      <c r="K10" s="651" t="str">
        <f>IF(NeededSales=0,IF('Report - Detail'!O12&lt;&gt;"-",((E10*1)+(F10*2)+(G10*3)+(H10*4))/(SUM(E10:H10)*4),"-"),"")</f>
        <v>-</v>
      </c>
      <c r="L10" s="638"/>
      <c r="M10" s="638"/>
      <c r="N10" s="289">
        <f>'Report - Detail'!O6</f>
        <v>0</v>
      </c>
      <c r="O10" s="63" t="s">
        <v>64</v>
      </c>
      <c r="P10" s="65"/>
      <c r="Q10" s="65"/>
      <c r="R10" s="64"/>
      <c r="S10" s="65"/>
      <c r="T10" s="65"/>
      <c r="U10" s="66"/>
      <c r="AE10" s="622">
        <f t="shared" si="1"/>
        <v>0</v>
      </c>
      <c r="AF10" s="623"/>
      <c r="AG10" s="635">
        <f>PointsSales</f>
        <v>68</v>
      </c>
      <c r="AH10" s="636"/>
      <c r="AI10" s="612" t="str">
        <f t="shared" si="2"/>
        <v>-</v>
      </c>
      <c r="AJ10" s="613"/>
      <c r="AK10" s="612" t="str">
        <f t="shared" si="3"/>
        <v>-</v>
      </c>
      <c r="AL10" s="613"/>
    </row>
    <row r="11" spans="1:38" x14ac:dyDescent="0.25">
      <c r="C11" s="120" t="s">
        <v>248</v>
      </c>
      <c r="D11" s="100"/>
      <c r="E11" s="121">
        <f t="shared" si="0"/>
        <v>0</v>
      </c>
      <c r="F11" s="122">
        <f t="shared" si="0"/>
        <v>0</v>
      </c>
      <c r="G11" s="122">
        <f t="shared" si="0"/>
        <v>0</v>
      </c>
      <c r="H11" s="122">
        <f t="shared" si="0"/>
        <v>0</v>
      </c>
      <c r="I11" s="561" t="str">
        <f>IF(NeededOps=0,IF('Report - Detail'!Q12&lt;&gt;"-",((E11*1)+(F11*2)+(G11*3)+(H11*4))/SUM(E11:H11),"-"),"")</f>
        <v>-</v>
      </c>
      <c r="J11" s="562"/>
      <c r="K11" s="651" t="str">
        <f>IF(NeededOps=0,IF('Report - Detail'!Q12&lt;&gt;"-",((E11*1)+(F11*2)+(G11*3)+(H11*4))/(SUM(E11:H11)*4),"-"),"")</f>
        <v>-</v>
      </c>
      <c r="L11" s="638"/>
      <c r="M11" s="638"/>
      <c r="N11" s="289">
        <f>'Report - Detail'!Q6</f>
        <v>0</v>
      </c>
      <c r="O11" s="67" t="s">
        <v>62</v>
      </c>
      <c r="Q11" s="69" t="s">
        <v>10</v>
      </c>
      <c r="R11" s="68"/>
      <c r="S11" s="130"/>
      <c r="T11" s="70" t="s">
        <v>63</v>
      </c>
      <c r="U11" s="71"/>
      <c r="AC11" s="284"/>
      <c r="AE11" s="622">
        <f t="shared" si="1"/>
        <v>0</v>
      </c>
      <c r="AF11" s="623"/>
      <c r="AG11" s="635">
        <f>PointsOperations</f>
        <v>100</v>
      </c>
      <c r="AH11" s="636"/>
      <c r="AI11" s="612" t="str">
        <f t="shared" si="2"/>
        <v>-</v>
      </c>
      <c r="AJ11" s="613"/>
      <c r="AK11" s="612" t="str">
        <f t="shared" si="3"/>
        <v>-</v>
      </c>
      <c r="AL11" s="613"/>
    </row>
    <row r="12" spans="1:38" ht="15.75" thickBot="1" x14ac:dyDescent="0.3">
      <c r="C12" s="120" t="s">
        <v>15</v>
      </c>
      <c r="D12" s="100"/>
      <c r="E12" s="121">
        <f t="shared" si="0"/>
        <v>0</v>
      </c>
      <c r="F12" s="122">
        <f t="shared" si="0"/>
        <v>0</v>
      </c>
      <c r="G12" s="122">
        <f t="shared" si="0"/>
        <v>0</v>
      </c>
      <c r="H12" s="122">
        <f t="shared" si="0"/>
        <v>0</v>
      </c>
      <c r="I12" s="561" t="str">
        <f>IF(NeededWhse=0,IF('Report - Detail'!T12&lt;&gt;"-",((E12*1)+(F12*2)+(G12*3)+(H12*4))/SUM(E12:H12),"-"),"")</f>
        <v>-</v>
      </c>
      <c r="J12" s="562"/>
      <c r="K12" s="651" t="str">
        <f>IF(NeededWhse=0,IF('Report - Detail'!T12&lt;&gt;"-",((E12*1)+(F12*2)+(G12*3)+(H12*4))/(SUM(E12:H12)*4),"-"),"")</f>
        <v>-</v>
      </c>
      <c r="L12" s="638"/>
      <c r="M12" s="638"/>
      <c r="N12" s="289">
        <f>'Report - Detail'!T6</f>
        <v>0</v>
      </c>
      <c r="O12" s="72" t="s">
        <v>60</v>
      </c>
      <c r="Q12" s="74" t="s">
        <v>140</v>
      </c>
      <c r="R12" s="73"/>
      <c r="T12" s="75"/>
      <c r="U12" s="76"/>
      <c r="V12" s="191"/>
      <c r="Y12" s="191"/>
      <c r="Z12" s="191"/>
      <c r="AE12" s="622">
        <f t="shared" si="1"/>
        <v>0</v>
      </c>
      <c r="AF12" s="623"/>
      <c r="AG12" s="635">
        <f>PointsWarehouse</f>
        <v>72</v>
      </c>
      <c r="AH12" s="636"/>
      <c r="AI12" s="612" t="str">
        <f t="shared" si="2"/>
        <v>-</v>
      </c>
      <c r="AJ12" s="613"/>
      <c r="AK12" s="612" t="str">
        <f t="shared" si="3"/>
        <v>-</v>
      </c>
      <c r="AL12" s="613"/>
    </row>
    <row r="13" spans="1:38" ht="15.75" thickBot="1" x14ac:dyDescent="0.3">
      <c r="C13" s="120" t="s">
        <v>6</v>
      </c>
      <c r="D13" s="100"/>
      <c r="E13" s="140">
        <f t="shared" si="0"/>
        <v>0</v>
      </c>
      <c r="F13" s="141">
        <f t="shared" si="0"/>
        <v>0</v>
      </c>
      <c r="G13" s="141">
        <f t="shared" si="0"/>
        <v>0</v>
      </c>
      <c r="H13" s="141">
        <f t="shared" si="0"/>
        <v>0</v>
      </c>
      <c r="I13" s="578" t="str">
        <f>IF(NeededRiskMgmt=0,IF('Report - Detail'!W12&lt;&gt;"-",((E13*1)+(F13*2)+(G13*3)+(H13*4))/SUM(E13:H13),"-"),"")</f>
        <v>-</v>
      </c>
      <c r="J13" s="579"/>
      <c r="K13" s="649" t="str">
        <f>IF(NeededRiskMgmt=0,IF('Report - Detail'!W12&lt;&gt;"-",((E13*1)+(F13*2)+(G13*3)+(H13*4))/(SUM(E13:H13)*4),"-"),"")</f>
        <v>-</v>
      </c>
      <c r="L13" s="650"/>
      <c r="M13" s="650"/>
      <c r="N13" s="289">
        <f>'Report - Detail'!W6</f>
        <v>0</v>
      </c>
      <c r="O13" s="72" t="s">
        <v>137</v>
      </c>
      <c r="Q13" s="74" t="s">
        <v>141</v>
      </c>
      <c r="R13" s="73"/>
      <c r="T13" s="77"/>
      <c r="U13" s="76"/>
      <c r="V13" s="191"/>
      <c r="Y13" s="191"/>
      <c r="Z13" s="191"/>
      <c r="AE13" s="600">
        <f t="shared" si="1"/>
        <v>0</v>
      </c>
      <c r="AF13" s="601"/>
      <c r="AG13" s="652">
        <f>PointsRiskManagement</f>
        <v>64</v>
      </c>
      <c r="AH13" s="653"/>
      <c r="AI13" s="641" t="str">
        <f t="shared" si="2"/>
        <v>-</v>
      </c>
      <c r="AJ13" s="642"/>
      <c r="AK13" s="614" t="str">
        <f t="shared" si="3"/>
        <v>-</v>
      </c>
      <c r="AL13" s="615"/>
    </row>
    <row r="14" spans="1:38" ht="15.75" thickBot="1" x14ac:dyDescent="0.3">
      <c r="C14" s="123" t="s">
        <v>65</v>
      </c>
      <c r="D14" s="124"/>
      <c r="E14" s="125">
        <f>SUM(E8:E13)</f>
        <v>0</v>
      </c>
      <c r="F14" s="126">
        <f>SUM(F8:F13)</f>
        <v>0</v>
      </c>
      <c r="G14" s="126">
        <f>SUM(G8:G13)</f>
        <v>0</v>
      </c>
      <c r="H14" s="127">
        <f>SUM(H8:H13)</f>
        <v>0</v>
      </c>
      <c r="I14" s="563" t="str">
        <f>IF(OR(TotalAnswersNeeded=0,TotalAnswersNeeded2=0),IF('Report - Detail'!X12&lt;&gt;"-",((E14*1)+(F14*2)+(G14*3)+(H14*4))/SUM(E14:H14),"-"),"")</f>
        <v>-</v>
      </c>
      <c r="J14" s="564"/>
      <c r="K14" s="576" t="str">
        <f>IF(OR(TotalAnswersNeeded=0,TotalAnswersNeeded2=0),IF('Report - Detail'!X12&lt;&gt;"-",((E14*1)+(F14*2)+(G14*3)+(H14*4))/(SUM(E14:H14)*4),"-"),"")</f>
        <v>-</v>
      </c>
      <c r="L14" s="577"/>
      <c r="M14" s="577"/>
      <c r="O14" s="72" t="s">
        <v>61</v>
      </c>
      <c r="Q14" s="74" t="s">
        <v>142</v>
      </c>
      <c r="R14" s="73"/>
      <c r="T14" s="187"/>
      <c r="U14" s="76"/>
      <c r="V14" s="191"/>
      <c r="Y14" s="191"/>
      <c r="Z14" s="191"/>
      <c r="AE14" s="602">
        <f>SUM(AE8:AE13)</f>
        <v>0</v>
      </c>
      <c r="AF14" s="603"/>
      <c r="AG14" s="654">
        <f>PointsTotal</f>
        <v>496</v>
      </c>
      <c r="AH14" s="655"/>
      <c r="AI14" s="618" t="str">
        <f t="shared" si="2"/>
        <v>-</v>
      </c>
      <c r="AJ14" s="619"/>
      <c r="AK14" s="618" t="str">
        <f t="shared" si="3"/>
        <v>-</v>
      </c>
      <c r="AL14" s="619"/>
    </row>
    <row r="15" spans="1:38" ht="15.75" thickBot="1" x14ac:dyDescent="0.3">
      <c r="O15" s="78" t="s">
        <v>138</v>
      </c>
      <c r="P15" s="80"/>
      <c r="Q15" s="80" t="s">
        <v>139</v>
      </c>
      <c r="R15" s="79"/>
      <c r="S15" s="79"/>
      <c r="T15" s="81"/>
      <c r="U15" s="82"/>
      <c r="V15" s="191"/>
      <c r="Y15" s="606" t="s">
        <v>331</v>
      </c>
      <c r="Z15" s="607"/>
      <c r="AA15" s="607"/>
      <c r="AB15" s="607"/>
      <c r="AC15" s="607"/>
    </row>
    <row r="16" spans="1:38" ht="6.75" customHeight="1" x14ac:dyDescent="0.25">
      <c r="O16" s="186"/>
      <c r="P16" s="186"/>
      <c r="Q16" s="186"/>
      <c r="R16" s="186"/>
      <c r="S16" s="186"/>
      <c r="T16" s="186"/>
      <c r="U16" s="186"/>
      <c r="V16" s="186"/>
      <c r="W16" s="186"/>
      <c r="Y16" s="607"/>
      <c r="Z16" s="607"/>
      <c r="AA16" s="607"/>
      <c r="AB16" s="607"/>
      <c r="AC16" s="607"/>
    </row>
    <row r="17" spans="1:36" s="131" customFormat="1" ht="18" customHeight="1" x14ac:dyDescent="0.25">
      <c r="A17" s="447"/>
      <c r="B17" s="449"/>
      <c r="C17" s="132"/>
      <c r="D17" s="133"/>
      <c r="E17" s="134" t="s">
        <v>87</v>
      </c>
      <c r="F17" s="135"/>
      <c r="G17" s="135"/>
      <c r="H17" s="135"/>
      <c r="I17" s="135"/>
      <c r="J17" s="135"/>
      <c r="K17" s="135"/>
      <c r="L17" s="136"/>
      <c r="M17" s="135"/>
      <c r="N17" s="135"/>
      <c r="O17" s="135"/>
      <c r="P17" s="135"/>
      <c r="Q17" s="135"/>
      <c r="R17" s="136"/>
      <c r="S17" s="135"/>
      <c r="T17" s="135"/>
      <c r="U17" s="135"/>
      <c r="V17" s="135"/>
      <c r="W17" s="135"/>
      <c r="X17" s="136"/>
      <c r="Y17" s="135"/>
      <c r="Z17" s="135"/>
      <c r="AA17" s="135"/>
      <c r="AB17" s="135"/>
      <c r="AC17" s="137"/>
    </row>
    <row r="18" spans="1:36" x14ac:dyDescent="0.25">
      <c r="C18" s="112"/>
      <c r="D18" s="113"/>
      <c r="E18" s="586" t="str">
        <f>Name1</f>
        <v>1</v>
      </c>
      <c r="F18" s="587"/>
      <c r="G18" s="587"/>
      <c r="H18" s="587"/>
      <c r="I18" s="587"/>
      <c r="J18" s="587"/>
      <c r="K18" s="234"/>
      <c r="L18" s="586" t="str">
        <f>Name2</f>
        <v>2</v>
      </c>
      <c r="M18" s="597"/>
      <c r="N18" s="598"/>
      <c r="O18" s="597"/>
      <c r="P18" s="598"/>
      <c r="Q18" s="599"/>
      <c r="R18" s="586" t="str">
        <f>Name3</f>
        <v>3</v>
      </c>
      <c r="S18" s="597"/>
      <c r="T18" s="598"/>
      <c r="U18" s="597"/>
      <c r="V18" s="598"/>
      <c r="W18" s="599"/>
      <c r="X18" s="586" t="str">
        <f>Name4</f>
        <v>4</v>
      </c>
      <c r="Y18" s="597"/>
      <c r="Z18" s="598"/>
      <c r="AA18" s="597"/>
      <c r="AB18" s="598"/>
      <c r="AC18" s="599"/>
      <c r="AE18" s="74"/>
      <c r="AF18" s="200"/>
      <c r="AG18" s="98"/>
      <c r="AH18" s="98"/>
      <c r="AI18" s="98"/>
      <c r="AJ18" s="98"/>
    </row>
    <row r="19" spans="1:36" ht="27" customHeight="1" x14ac:dyDescent="0.25">
      <c r="C19" s="112"/>
      <c r="D19" s="113"/>
      <c r="E19" s="588" t="s">
        <v>188</v>
      </c>
      <c r="F19" s="566"/>
      <c r="G19" s="566"/>
      <c r="H19" s="566"/>
      <c r="I19" s="589" t="s">
        <v>186</v>
      </c>
      <c r="J19" s="591" t="s">
        <v>187</v>
      </c>
      <c r="K19" s="592"/>
      <c r="L19" s="588" t="s">
        <v>188</v>
      </c>
      <c r="M19" s="566"/>
      <c r="N19" s="566"/>
      <c r="O19" s="566"/>
      <c r="P19" s="589" t="s">
        <v>186</v>
      </c>
      <c r="Q19" s="591" t="s">
        <v>187</v>
      </c>
      <c r="R19" s="588" t="s">
        <v>188</v>
      </c>
      <c r="S19" s="566"/>
      <c r="T19" s="566"/>
      <c r="U19" s="566"/>
      <c r="V19" s="589" t="s">
        <v>186</v>
      </c>
      <c r="W19" s="591" t="s">
        <v>187</v>
      </c>
      <c r="X19" s="588" t="s">
        <v>188</v>
      </c>
      <c r="Y19" s="566"/>
      <c r="Z19" s="566"/>
      <c r="AA19" s="566"/>
      <c r="AB19" s="589" t="s">
        <v>186</v>
      </c>
      <c r="AC19" s="604" t="s">
        <v>187</v>
      </c>
      <c r="AE19" s="74"/>
      <c r="AF19" s="200"/>
      <c r="AG19" s="98"/>
      <c r="AH19" s="98"/>
      <c r="AI19" s="98"/>
      <c r="AJ19" s="98"/>
    </row>
    <row r="20" spans="1:36" ht="19.5" customHeight="1" x14ac:dyDescent="0.25">
      <c r="C20" s="114"/>
      <c r="D20" s="115"/>
      <c r="E20" s="58">
        <v>1</v>
      </c>
      <c r="F20" s="18">
        <v>2</v>
      </c>
      <c r="G20" s="18">
        <v>3</v>
      </c>
      <c r="H20" s="19">
        <v>4</v>
      </c>
      <c r="I20" s="590"/>
      <c r="J20" s="593"/>
      <c r="K20" s="594"/>
      <c r="L20" s="58">
        <v>1</v>
      </c>
      <c r="M20" s="18">
        <v>2</v>
      </c>
      <c r="N20" s="18">
        <v>3</v>
      </c>
      <c r="O20" s="19">
        <v>4</v>
      </c>
      <c r="P20" s="590"/>
      <c r="Q20" s="593"/>
      <c r="R20" s="58">
        <v>1</v>
      </c>
      <c r="S20" s="18">
        <v>2</v>
      </c>
      <c r="T20" s="18">
        <v>3</v>
      </c>
      <c r="U20" s="19">
        <v>4</v>
      </c>
      <c r="V20" s="590"/>
      <c r="W20" s="593"/>
      <c r="X20" s="58">
        <v>1</v>
      </c>
      <c r="Y20" s="18">
        <v>2</v>
      </c>
      <c r="Z20" s="18">
        <v>3</v>
      </c>
      <c r="AA20" s="19">
        <v>4</v>
      </c>
      <c r="AB20" s="590"/>
      <c r="AC20" s="605"/>
      <c r="AE20" s="74"/>
      <c r="AF20" s="200"/>
      <c r="AG20" s="98"/>
      <c r="AH20" s="98"/>
      <c r="AI20" s="98"/>
      <c r="AJ20" s="98"/>
    </row>
    <row r="21" spans="1:36" x14ac:dyDescent="0.25">
      <c r="C21" s="116" t="s">
        <v>3</v>
      </c>
      <c r="D21" s="117"/>
      <c r="E21" s="290">
        <f>'Enter Results'!G23</f>
        <v>0</v>
      </c>
      <c r="F21" s="291">
        <f>'Enter Results'!H23</f>
        <v>0</v>
      </c>
      <c r="G21" s="291">
        <f>'Enter Results'!I23</f>
        <v>0</v>
      </c>
      <c r="H21" s="292">
        <f>'Enter Results'!J23</f>
        <v>0</v>
      </c>
      <c r="I21" s="248">
        <f>'Enter Results'!M23</f>
        <v>0</v>
      </c>
      <c r="J21" s="582">
        <f>'Enter Results'!N23</f>
        <v>0</v>
      </c>
      <c r="K21" s="583"/>
      <c r="L21" s="290">
        <f>'Enter Results'!G35</f>
        <v>0</v>
      </c>
      <c r="M21" s="291">
        <f>'Enter Results'!H35</f>
        <v>0</v>
      </c>
      <c r="N21" s="291">
        <f>'Enter Results'!I35</f>
        <v>0</v>
      </c>
      <c r="O21" s="292">
        <f>'Enter Results'!J35</f>
        <v>0</v>
      </c>
      <c r="P21" s="248">
        <f>'Enter Results'!M35</f>
        <v>0</v>
      </c>
      <c r="Q21" s="216">
        <f>'Enter Results'!N35</f>
        <v>0</v>
      </c>
      <c r="R21" s="290">
        <f>'Enter Results'!G47</f>
        <v>0</v>
      </c>
      <c r="S21" s="291">
        <f>'Enter Results'!H47</f>
        <v>0</v>
      </c>
      <c r="T21" s="291">
        <f>'Enter Results'!I47</f>
        <v>0</v>
      </c>
      <c r="U21" s="292">
        <f>'Enter Results'!J47</f>
        <v>0</v>
      </c>
      <c r="V21" s="248">
        <f>'Enter Results'!M47</f>
        <v>0</v>
      </c>
      <c r="W21" s="216">
        <f>'Enter Results'!N47</f>
        <v>0</v>
      </c>
      <c r="X21" s="290">
        <f>'Enter Results'!G59</f>
        <v>0</v>
      </c>
      <c r="Y21" s="291">
        <f>'Enter Results'!H59</f>
        <v>0</v>
      </c>
      <c r="Z21" s="291">
        <f>'Enter Results'!I59</f>
        <v>0</v>
      </c>
      <c r="AA21" s="292">
        <f>'Enter Results'!J59</f>
        <v>0</v>
      </c>
      <c r="AB21" s="248">
        <f>'Enter Results'!M59</f>
        <v>0</v>
      </c>
      <c r="AC21" s="128">
        <f>'Enter Results'!N59</f>
        <v>0</v>
      </c>
      <c r="AE21" s="74"/>
      <c r="AF21" s="74"/>
      <c r="AG21" s="74"/>
      <c r="AH21" s="74"/>
      <c r="AI21" s="74"/>
      <c r="AJ21" s="74"/>
    </row>
    <row r="22" spans="1:36" x14ac:dyDescent="0.25">
      <c r="C22" s="120" t="s">
        <v>4</v>
      </c>
      <c r="D22" s="100"/>
      <c r="E22" s="293">
        <f>'Enter Results'!G24</f>
        <v>0</v>
      </c>
      <c r="F22" s="294">
        <f>'Enter Results'!H24</f>
        <v>0</v>
      </c>
      <c r="G22" s="294">
        <f>'Enter Results'!I24</f>
        <v>0</v>
      </c>
      <c r="H22" s="295">
        <f>'Enter Results'!J24</f>
        <v>0</v>
      </c>
      <c r="I22" s="249">
        <f>'Enter Results'!M24</f>
        <v>0</v>
      </c>
      <c r="J22" s="584">
        <f>'Enter Results'!N24</f>
        <v>0</v>
      </c>
      <c r="K22" s="585"/>
      <c r="L22" s="293">
        <f>'Enter Results'!G36</f>
        <v>0</v>
      </c>
      <c r="M22" s="294">
        <f>'Enter Results'!H36</f>
        <v>0</v>
      </c>
      <c r="N22" s="294">
        <f>'Enter Results'!I36</f>
        <v>0</v>
      </c>
      <c r="O22" s="295">
        <f>'Enter Results'!J36</f>
        <v>0</v>
      </c>
      <c r="P22" s="249">
        <f>'Enter Results'!M36</f>
        <v>0</v>
      </c>
      <c r="Q22" s="217">
        <f>'Enter Results'!N36</f>
        <v>0</v>
      </c>
      <c r="R22" s="293">
        <f>'Enter Results'!G48</f>
        <v>0</v>
      </c>
      <c r="S22" s="294">
        <f>'Enter Results'!H48</f>
        <v>0</v>
      </c>
      <c r="T22" s="294">
        <f>'Enter Results'!I48</f>
        <v>0</v>
      </c>
      <c r="U22" s="295">
        <f>'Enter Results'!J48</f>
        <v>0</v>
      </c>
      <c r="V22" s="249">
        <f>'Enter Results'!M48</f>
        <v>0</v>
      </c>
      <c r="W22" s="217">
        <f>'Enter Results'!N48</f>
        <v>0</v>
      </c>
      <c r="X22" s="293">
        <f>'Enter Results'!G60</f>
        <v>0</v>
      </c>
      <c r="Y22" s="294">
        <f>'Enter Results'!H60</f>
        <v>0</v>
      </c>
      <c r="Z22" s="294">
        <f>'Enter Results'!I60</f>
        <v>0</v>
      </c>
      <c r="AA22" s="295">
        <f>'Enter Results'!J60</f>
        <v>0</v>
      </c>
      <c r="AB22" s="249">
        <f>'Enter Results'!M60</f>
        <v>0</v>
      </c>
      <c r="AC22" s="129">
        <f>'Enter Results'!N60</f>
        <v>0</v>
      </c>
      <c r="AF22" s="62" t="s">
        <v>156</v>
      </c>
    </row>
    <row r="23" spans="1:36" x14ac:dyDescent="0.25">
      <c r="C23" s="120" t="s">
        <v>5</v>
      </c>
      <c r="D23" s="100"/>
      <c r="E23" s="293">
        <f>'Enter Results'!G25</f>
        <v>0</v>
      </c>
      <c r="F23" s="294">
        <f>'Enter Results'!H25</f>
        <v>0</v>
      </c>
      <c r="G23" s="294">
        <f>'Enter Results'!I25</f>
        <v>0</v>
      </c>
      <c r="H23" s="295">
        <f>'Enter Results'!J25</f>
        <v>0</v>
      </c>
      <c r="I23" s="249">
        <f>'Enter Results'!M25</f>
        <v>0</v>
      </c>
      <c r="J23" s="584">
        <f>'Enter Results'!N25</f>
        <v>0</v>
      </c>
      <c r="K23" s="585"/>
      <c r="L23" s="293">
        <f>'Enter Results'!G37</f>
        <v>0</v>
      </c>
      <c r="M23" s="294">
        <f>'Enter Results'!H37</f>
        <v>0</v>
      </c>
      <c r="N23" s="294">
        <f>'Enter Results'!I37</f>
        <v>0</v>
      </c>
      <c r="O23" s="295">
        <f>'Enter Results'!J37</f>
        <v>0</v>
      </c>
      <c r="P23" s="249">
        <f>'Enter Results'!M37</f>
        <v>0</v>
      </c>
      <c r="Q23" s="217">
        <f>'Enter Results'!N37</f>
        <v>0</v>
      </c>
      <c r="R23" s="293">
        <f>'Enter Results'!G49</f>
        <v>0</v>
      </c>
      <c r="S23" s="294">
        <f>'Enter Results'!H49</f>
        <v>0</v>
      </c>
      <c r="T23" s="294">
        <f>'Enter Results'!I49</f>
        <v>0</v>
      </c>
      <c r="U23" s="295">
        <f>'Enter Results'!J49</f>
        <v>0</v>
      </c>
      <c r="V23" s="249">
        <f>'Enter Results'!M49</f>
        <v>0</v>
      </c>
      <c r="W23" s="217">
        <f>'Enter Results'!N49</f>
        <v>0</v>
      </c>
      <c r="X23" s="293">
        <f>'Enter Results'!G61</f>
        <v>0</v>
      </c>
      <c r="Y23" s="294">
        <f>'Enter Results'!H61</f>
        <v>0</v>
      </c>
      <c r="Z23" s="294">
        <f>'Enter Results'!I61</f>
        <v>0</v>
      </c>
      <c r="AA23" s="295">
        <f>'Enter Results'!J61</f>
        <v>0</v>
      </c>
      <c r="AB23" s="249">
        <f>'Enter Results'!M61</f>
        <v>0</v>
      </c>
      <c r="AC23" s="129">
        <f>'Enter Results'!N61</f>
        <v>0</v>
      </c>
      <c r="AF23" s="83" t="s">
        <v>143</v>
      </c>
    </row>
    <row r="24" spans="1:36" x14ac:dyDescent="0.25">
      <c r="C24" s="120" t="s">
        <v>248</v>
      </c>
      <c r="D24" s="100"/>
      <c r="E24" s="293">
        <f>'Enter Results'!G26</f>
        <v>0</v>
      </c>
      <c r="F24" s="294">
        <f>'Enter Results'!H26</f>
        <v>0</v>
      </c>
      <c r="G24" s="294">
        <f>'Enter Results'!I26</f>
        <v>0</v>
      </c>
      <c r="H24" s="295">
        <f>'Enter Results'!J26</f>
        <v>0</v>
      </c>
      <c r="I24" s="249">
        <f>'Enter Results'!M26</f>
        <v>0</v>
      </c>
      <c r="J24" s="584">
        <f>'Enter Results'!N26</f>
        <v>0</v>
      </c>
      <c r="K24" s="585"/>
      <c r="L24" s="293">
        <f>'Enter Results'!G38</f>
        <v>0</v>
      </c>
      <c r="M24" s="294">
        <f>'Enter Results'!H38</f>
        <v>0</v>
      </c>
      <c r="N24" s="294">
        <f>'Enter Results'!I38</f>
        <v>0</v>
      </c>
      <c r="O24" s="295">
        <f>'Enter Results'!J38</f>
        <v>0</v>
      </c>
      <c r="P24" s="249">
        <f>'Enter Results'!M38</f>
        <v>0</v>
      </c>
      <c r="Q24" s="217">
        <f>'Enter Results'!N38</f>
        <v>0</v>
      </c>
      <c r="R24" s="293">
        <f>'Enter Results'!G50</f>
        <v>0</v>
      </c>
      <c r="S24" s="294">
        <f>'Enter Results'!H50</f>
        <v>0</v>
      </c>
      <c r="T24" s="294">
        <f>'Enter Results'!I50</f>
        <v>0</v>
      </c>
      <c r="U24" s="295">
        <f>'Enter Results'!J50</f>
        <v>0</v>
      </c>
      <c r="V24" s="249">
        <f>'Enter Results'!M50</f>
        <v>0</v>
      </c>
      <c r="W24" s="217">
        <f>'Enter Results'!N50</f>
        <v>0</v>
      </c>
      <c r="X24" s="293">
        <f>'Enter Results'!G62</f>
        <v>0</v>
      </c>
      <c r="Y24" s="294">
        <f>'Enter Results'!H62</f>
        <v>0</v>
      </c>
      <c r="Z24" s="294">
        <f>'Enter Results'!I62</f>
        <v>0</v>
      </c>
      <c r="AA24" s="295">
        <f>'Enter Results'!J62</f>
        <v>0</v>
      </c>
      <c r="AB24" s="249">
        <f>'Enter Results'!M62</f>
        <v>0</v>
      </c>
      <c r="AC24" s="129">
        <f>'Enter Results'!N62</f>
        <v>0</v>
      </c>
      <c r="AF24" s="59" t="s">
        <v>144</v>
      </c>
    </row>
    <row r="25" spans="1:36" x14ac:dyDescent="0.25">
      <c r="C25" s="120" t="s">
        <v>15</v>
      </c>
      <c r="D25" s="100"/>
      <c r="E25" s="293">
        <f>'Enter Results'!G27</f>
        <v>0</v>
      </c>
      <c r="F25" s="294">
        <f>'Enter Results'!H27</f>
        <v>0</v>
      </c>
      <c r="G25" s="294">
        <f>'Enter Results'!I27</f>
        <v>0</v>
      </c>
      <c r="H25" s="295">
        <f>'Enter Results'!J27</f>
        <v>0</v>
      </c>
      <c r="I25" s="249">
        <f>'Enter Results'!M27</f>
        <v>0</v>
      </c>
      <c r="J25" s="584">
        <f>'Enter Results'!N27</f>
        <v>0</v>
      </c>
      <c r="K25" s="585"/>
      <c r="L25" s="293">
        <f>'Enter Results'!G39</f>
        <v>0</v>
      </c>
      <c r="M25" s="294">
        <f>'Enter Results'!H39</f>
        <v>0</v>
      </c>
      <c r="N25" s="294">
        <f>'Enter Results'!I39</f>
        <v>0</v>
      </c>
      <c r="O25" s="295">
        <f>'Enter Results'!J39</f>
        <v>0</v>
      </c>
      <c r="P25" s="249">
        <f>'Enter Results'!M39</f>
        <v>0</v>
      </c>
      <c r="Q25" s="217">
        <f>'Enter Results'!N39</f>
        <v>0</v>
      </c>
      <c r="R25" s="293">
        <f>'Enter Results'!G51</f>
        <v>0</v>
      </c>
      <c r="S25" s="294">
        <f>'Enter Results'!H51</f>
        <v>0</v>
      </c>
      <c r="T25" s="294">
        <f>'Enter Results'!I51</f>
        <v>0</v>
      </c>
      <c r="U25" s="295">
        <f>'Enter Results'!J51</f>
        <v>0</v>
      </c>
      <c r="V25" s="249">
        <f>'Enter Results'!M51</f>
        <v>0</v>
      </c>
      <c r="W25" s="217">
        <f>'Enter Results'!N51</f>
        <v>0</v>
      </c>
      <c r="X25" s="293">
        <f>'Enter Results'!G63</f>
        <v>0</v>
      </c>
      <c r="Y25" s="294">
        <f>'Enter Results'!H63</f>
        <v>0</v>
      </c>
      <c r="Z25" s="294">
        <f>'Enter Results'!I63</f>
        <v>0</v>
      </c>
      <c r="AA25" s="295">
        <f>'Enter Results'!J63</f>
        <v>0</v>
      </c>
      <c r="AB25" s="249">
        <f>'Enter Results'!M63</f>
        <v>0</v>
      </c>
      <c r="AC25" s="129">
        <f>'Enter Results'!N63</f>
        <v>0</v>
      </c>
      <c r="AF25" s="197" t="s">
        <v>146</v>
      </c>
      <c r="AG25" s="198" t="s">
        <v>147</v>
      </c>
    </row>
    <row r="26" spans="1:36" x14ac:dyDescent="0.25">
      <c r="C26" s="120" t="s">
        <v>6</v>
      </c>
      <c r="D26" s="100"/>
      <c r="E26" s="293">
        <f>'Enter Results'!G28</f>
        <v>0</v>
      </c>
      <c r="F26" s="294">
        <f>'Enter Results'!H28</f>
        <v>0</v>
      </c>
      <c r="G26" s="294">
        <f>'Enter Results'!I28</f>
        <v>0</v>
      </c>
      <c r="H26" s="295">
        <f>'Enter Results'!J28</f>
        <v>0</v>
      </c>
      <c r="I26" s="250">
        <f>'Enter Results'!M28</f>
        <v>0</v>
      </c>
      <c r="J26" s="595">
        <f>'Enter Results'!N28</f>
        <v>0</v>
      </c>
      <c r="K26" s="596"/>
      <c r="L26" s="293">
        <f>'Enter Results'!G40</f>
        <v>0</v>
      </c>
      <c r="M26" s="294">
        <f>'Enter Results'!H40</f>
        <v>0</v>
      </c>
      <c r="N26" s="294">
        <f>'Enter Results'!I40</f>
        <v>0</v>
      </c>
      <c r="O26" s="295">
        <f>'Enter Results'!J40</f>
        <v>0</v>
      </c>
      <c r="P26" s="250">
        <f>'Enter Results'!M40</f>
        <v>0</v>
      </c>
      <c r="Q26" s="218">
        <f>'Enter Results'!N40</f>
        <v>0</v>
      </c>
      <c r="R26" s="293">
        <f>'Enter Results'!G52</f>
        <v>0</v>
      </c>
      <c r="S26" s="294">
        <f>'Enter Results'!H52</f>
        <v>0</v>
      </c>
      <c r="T26" s="294">
        <f>'Enter Results'!I52</f>
        <v>0</v>
      </c>
      <c r="U26" s="295">
        <f>'Enter Results'!J52</f>
        <v>0</v>
      </c>
      <c r="V26" s="250">
        <f>'Enter Results'!M52</f>
        <v>0</v>
      </c>
      <c r="W26" s="218">
        <f>'Enter Results'!N52</f>
        <v>0</v>
      </c>
      <c r="X26" s="293">
        <f>'Enter Results'!G64</f>
        <v>0</v>
      </c>
      <c r="Y26" s="294">
        <f>'Enter Results'!H64</f>
        <v>0</v>
      </c>
      <c r="Z26" s="294">
        <f>'Enter Results'!I64</f>
        <v>0</v>
      </c>
      <c r="AA26" s="295">
        <f>'Enter Results'!J64</f>
        <v>0</v>
      </c>
      <c r="AB26" s="250">
        <f>'Enter Results'!M64</f>
        <v>0</v>
      </c>
      <c r="AC26" s="252">
        <f>'Enter Results'!N64</f>
        <v>0</v>
      </c>
      <c r="AF26" s="192">
        <v>0.79490000000000005</v>
      </c>
      <c r="AG26" s="192">
        <v>0.79490000000000005</v>
      </c>
      <c r="AH26" s="83" t="s">
        <v>151</v>
      </c>
    </row>
    <row r="27" spans="1:36" x14ac:dyDescent="0.25">
      <c r="C27" s="123" t="s">
        <v>65</v>
      </c>
      <c r="D27" s="124"/>
      <c r="E27" s="296">
        <f>SUM(E21:E26)</f>
        <v>0</v>
      </c>
      <c r="F27" s="297">
        <f>SUM(F21:F26)</f>
        <v>0</v>
      </c>
      <c r="G27" s="297">
        <f>SUM(G21:G26)</f>
        <v>0</v>
      </c>
      <c r="H27" s="298">
        <f>SUM(H21:H26)</f>
        <v>0</v>
      </c>
      <c r="I27" s="251">
        <f>'Enter Results'!M29</f>
        <v>0</v>
      </c>
      <c r="J27" s="580">
        <f>'Enter Results'!N29</f>
        <v>0</v>
      </c>
      <c r="K27" s="581"/>
      <c r="L27" s="296">
        <f>SUM(L21:L26)</f>
        <v>0</v>
      </c>
      <c r="M27" s="297">
        <f>SUM(M21:M26)</f>
        <v>0</v>
      </c>
      <c r="N27" s="297">
        <f>SUM(N21:N26)</f>
        <v>0</v>
      </c>
      <c r="O27" s="298">
        <f>SUM(O21:O26)</f>
        <v>0</v>
      </c>
      <c r="P27" s="251">
        <f>'Enter Results'!M41</f>
        <v>0</v>
      </c>
      <c r="Q27" s="219">
        <f>'Enter Results'!N41</f>
        <v>0</v>
      </c>
      <c r="R27" s="296">
        <f>SUM(R21:R26)</f>
        <v>0</v>
      </c>
      <c r="S27" s="297">
        <f>SUM(S21:S26)</f>
        <v>0</v>
      </c>
      <c r="T27" s="297">
        <f>SUM(T21:T26)</f>
        <v>0</v>
      </c>
      <c r="U27" s="298">
        <f>SUM(U21:U26)</f>
        <v>0</v>
      </c>
      <c r="V27" s="251">
        <f>'Enter Results'!M53</f>
        <v>0</v>
      </c>
      <c r="W27" s="219">
        <f>'Enter Results'!N53</f>
        <v>0</v>
      </c>
      <c r="X27" s="296">
        <f>SUM(X21:X26)</f>
        <v>0</v>
      </c>
      <c r="Y27" s="297">
        <f>SUM(Y21:Y26)</f>
        <v>0</v>
      </c>
      <c r="Z27" s="297">
        <f>SUM(Z21:Z26)</f>
        <v>0</v>
      </c>
      <c r="AA27" s="298">
        <f>SUM(AA21:AA26)</f>
        <v>0</v>
      </c>
      <c r="AB27" s="251">
        <f>'Enter Results'!M65</f>
        <v>0</v>
      </c>
      <c r="AC27" s="253">
        <f>'Enter Results'!N65</f>
        <v>0</v>
      </c>
      <c r="AF27" s="192">
        <v>0.79500000000000004</v>
      </c>
      <c r="AG27" s="194">
        <v>0.79500000000000004</v>
      </c>
      <c r="AH27" s="59" t="s">
        <v>150</v>
      </c>
    </row>
    <row r="28" spans="1:36" x14ac:dyDescent="0.25">
      <c r="AF28" s="194">
        <v>0.8</v>
      </c>
      <c r="AG28" s="194">
        <v>0.8</v>
      </c>
      <c r="AH28" s="199" t="s">
        <v>149</v>
      </c>
    </row>
    <row r="29" spans="1:36" x14ac:dyDescent="0.25">
      <c r="C29" s="112"/>
      <c r="D29" s="113"/>
      <c r="E29" s="586" t="str">
        <f>Name5</f>
        <v>5</v>
      </c>
      <c r="F29" s="587"/>
      <c r="G29" s="587"/>
      <c r="H29" s="587"/>
      <c r="I29" s="587"/>
      <c r="J29" s="587"/>
      <c r="K29" s="234"/>
      <c r="L29" s="586" t="str">
        <f>Name6</f>
        <v>6</v>
      </c>
      <c r="M29" s="597"/>
      <c r="N29" s="598"/>
      <c r="O29" s="597"/>
      <c r="P29" s="598"/>
      <c r="Q29" s="599"/>
      <c r="R29" s="586" t="str">
        <f>Name7</f>
        <v>7</v>
      </c>
      <c r="S29" s="597"/>
      <c r="T29" s="598"/>
      <c r="U29" s="597"/>
      <c r="V29" s="598"/>
      <c r="W29" s="599"/>
      <c r="X29" s="586" t="str">
        <f>Name8</f>
        <v>8</v>
      </c>
      <c r="Y29" s="597"/>
      <c r="Z29" s="598"/>
      <c r="AA29" s="597"/>
      <c r="AB29" s="598"/>
      <c r="AC29" s="599"/>
      <c r="AF29" s="194">
        <v>0.83499999999999996</v>
      </c>
      <c r="AG29" s="194">
        <v>0.83499999999999996</v>
      </c>
      <c r="AH29" s="59" t="s">
        <v>152</v>
      </c>
    </row>
    <row r="30" spans="1:36" ht="27" customHeight="1" x14ac:dyDescent="0.25">
      <c r="C30" s="112"/>
      <c r="D30" s="113"/>
      <c r="E30" s="588" t="s">
        <v>188</v>
      </c>
      <c r="F30" s="566"/>
      <c r="G30" s="566"/>
      <c r="H30" s="566"/>
      <c r="I30" s="589" t="s">
        <v>186</v>
      </c>
      <c r="J30" s="591" t="s">
        <v>187</v>
      </c>
      <c r="K30" s="592"/>
      <c r="L30" s="588" t="s">
        <v>188</v>
      </c>
      <c r="M30" s="566"/>
      <c r="N30" s="566"/>
      <c r="O30" s="566"/>
      <c r="P30" s="589" t="s">
        <v>186</v>
      </c>
      <c r="Q30" s="591" t="s">
        <v>187</v>
      </c>
      <c r="R30" s="588" t="s">
        <v>188</v>
      </c>
      <c r="S30" s="566"/>
      <c r="T30" s="566"/>
      <c r="U30" s="566"/>
      <c r="V30" s="589" t="s">
        <v>186</v>
      </c>
      <c r="W30" s="591" t="s">
        <v>187</v>
      </c>
      <c r="X30" s="588" t="s">
        <v>188</v>
      </c>
      <c r="Y30" s="566"/>
      <c r="Z30" s="566"/>
      <c r="AA30" s="566"/>
      <c r="AB30" s="589" t="s">
        <v>186</v>
      </c>
      <c r="AC30" s="604" t="s">
        <v>187</v>
      </c>
      <c r="AF30" s="194">
        <v>0.84</v>
      </c>
      <c r="AG30" s="194">
        <v>0.84</v>
      </c>
      <c r="AH30" s="59" t="s">
        <v>153</v>
      </c>
    </row>
    <row r="31" spans="1:36" ht="19.5" customHeight="1" x14ac:dyDescent="0.25">
      <c r="C31" s="114"/>
      <c r="D31" s="115"/>
      <c r="E31" s="58">
        <v>1</v>
      </c>
      <c r="F31" s="18">
        <v>2</v>
      </c>
      <c r="G31" s="18">
        <v>3</v>
      </c>
      <c r="H31" s="19">
        <v>4</v>
      </c>
      <c r="I31" s="590"/>
      <c r="J31" s="593"/>
      <c r="K31" s="594"/>
      <c r="L31" s="58">
        <v>1</v>
      </c>
      <c r="M31" s="18">
        <v>2</v>
      </c>
      <c r="N31" s="18">
        <v>3</v>
      </c>
      <c r="O31" s="19">
        <v>4</v>
      </c>
      <c r="P31" s="590"/>
      <c r="Q31" s="593"/>
      <c r="R31" s="58">
        <v>1</v>
      </c>
      <c r="S31" s="18">
        <v>2</v>
      </c>
      <c r="T31" s="18">
        <v>3</v>
      </c>
      <c r="U31" s="19">
        <v>4</v>
      </c>
      <c r="V31" s="590"/>
      <c r="W31" s="593"/>
      <c r="X31" s="58">
        <v>1</v>
      </c>
      <c r="Y31" s="18">
        <v>2</v>
      </c>
      <c r="Z31" s="18">
        <v>3</v>
      </c>
      <c r="AA31" s="19">
        <v>4</v>
      </c>
      <c r="AB31" s="590"/>
      <c r="AC31" s="605"/>
      <c r="AF31" s="192">
        <v>0.84489999999999998</v>
      </c>
      <c r="AG31" s="194">
        <v>0.84489999999999998</v>
      </c>
      <c r="AH31" s="59" t="s">
        <v>154</v>
      </c>
    </row>
    <row r="32" spans="1:36" x14ac:dyDescent="0.25">
      <c r="C32" s="116" t="s">
        <v>3</v>
      </c>
      <c r="D32" s="117"/>
      <c r="E32" s="290">
        <f>'Enter Results'!G71</f>
        <v>0</v>
      </c>
      <c r="F32" s="291">
        <f>'Enter Results'!H71</f>
        <v>0</v>
      </c>
      <c r="G32" s="291">
        <f>'Enter Results'!I71</f>
        <v>0</v>
      </c>
      <c r="H32" s="292">
        <f>'Enter Results'!J71</f>
        <v>0</v>
      </c>
      <c r="I32" s="248">
        <f>'Enter Results'!M71</f>
        <v>0</v>
      </c>
      <c r="J32" s="582">
        <f>'Enter Results'!N71</f>
        <v>0</v>
      </c>
      <c r="K32" s="583"/>
      <c r="L32" s="290">
        <f>'Enter Results'!G83</f>
        <v>0</v>
      </c>
      <c r="M32" s="291">
        <f>'Enter Results'!H83</f>
        <v>0</v>
      </c>
      <c r="N32" s="291">
        <f>'Enter Results'!I83</f>
        <v>0</v>
      </c>
      <c r="O32" s="292">
        <f>'Enter Results'!J83</f>
        <v>0</v>
      </c>
      <c r="P32" s="248">
        <f>'Enter Results'!M83</f>
        <v>0</v>
      </c>
      <c r="Q32" s="216">
        <f>'Enter Results'!N83</f>
        <v>0</v>
      </c>
      <c r="R32" s="290">
        <f>'Enter Results'!G95</f>
        <v>0</v>
      </c>
      <c r="S32" s="291">
        <f>'Enter Results'!H95</f>
        <v>0</v>
      </c>
      <c r="T32" s="291">
        <f>'Enter Results'!I95</f>
        <v>0</v>
      </c>
      <c r="U32" s="292">
        <f>'Enter Results'!J95</f>
        <v>0</v>
      </c>
      <c r="V32" s="248">
        <f>'Enter Results'!M95</f>
        <v>0</v>
      </c>
      <c r="W32" s="216">
        <f>'Enter Results'!N95</f>
        <v>0</v>
      </c>
      <c r="X32" s="290">
        <f>'Enter Results'!G107</f>
        <v>0</v>
      </c>
      <c r="Y32" s="291">
        <f>'Enter Results'!H107</f>
        <v>0</v>
      </c>
      <c r="Z32" s="291">
        <f>'Enter Results'!I107</f>
        <v>0</v>
      </c>
      <c r="AA32" s="292">
        <f>'Enter Results'!J107</f>
        <v>0</v>
      </c>
      <c r="AB32" s="248">
        <f>'Enter Results'!M107</f>
        <v>0</v>
      </c>
      <c r="AC32" s="128">
        <f>'Enter Results'!N107</f>
        <v>0</v>
      </c>
      <c r="AF32" s="192">
        <v>0.84499999999999997</v>
      </c>
      <c r="AG32" s="192">
        <v>0.84499999999999997</v>
      </c>
      <c r="AH32" s="59" t="s">
        <v>155</v>
      </c>
    </row>
    <row r="33" spans="3:39" x14ac:dyDescent="0.25">
      <c r="C33" s="120" t="s">
        <v>4</v>
      </c>
      <c r="D33" s="100"/>
      <c r="E33" s="293">
        <f>'Enter Results'!G72</f>
        <v>0</v>
      </c>
      <c r="F33" s="294">
        <f>'Enter Results'!H72</f>
        <v>0</v>
      </c>
      <c r="G33" s="294">
        <f>'Enter Results'!I72</f>
        <v>0</v>
      </c>
      <c r="H33" s="295">
        <f>'Enter Results'!J72</f>
        <v>0</v>
      </c>
      <c r="I33" s="249">
        <f>'Enter Results'!M72</f>
        <v>0</v>
      </c>
      <c r="J33" s="584">
        <f>'Enter Results'!N72</f>
        <v>0</v>
      </c>
      <c r="K33" s="585"/>
      <c r="L33" s="293">
        <f>'Enter Results'!G84</f>
        <v>0</v>
      </c>
      <c r="M33" s="294">
        <f>'Enter Results'!H84</f>
        <v>0</v>
      </c>
      <c r="N33" s="294">
        <f>'Enter Results'!I84</f>
        <v>0</v>
      </c>
      <c r="O33" s="295">
        <f>'Enter Results'!J84</f>
        <v>0</v>
      </c>
      <c r="P33" s="249">
        <f>'Enter Results'!M84</f>
        <v>0</v>
      </c>
      <c r="Q33" s="217">
        <f>'Enter Results'!N84</f>
        <v>0</v>
      </c>
      <c r="R33" s="293">
        <f>'Enter Results'!G96</f>
        <v>0</v>
      </c>
      <c r="S33" s="294">
        <f>'Enter Results'!H96</f>
        <v>0</v>
      </c>
      <c r="T33" s="294">
        <f>'Enter Results'!I96</f>
        <v>0</v>
      </c>
      <c r="U33" s="295">
        <f>'Enter Results'!J96</f>
        <v>0</v>
      </c>
      <c r="V33" s="249">
        <f>'Enter Results'!M96</f>
        <v>0</v>
      </c>
      <c r="W33" s="217">
        <f>'Enter Results'!N96</f>
        <v>0</v>
      </c>
      <c r="X33" s="293">
        <f>'Enter Results'!G108</f>
        <v>0</v>
      </c>
      <c r="Y33" s="294">
        <f>'Enter Results'!H108</f>
        <v>0</v>
      </c>
      <c r="Z33" s="294">
        <f>'Enter Results'!I108</f>
        <v>0</v>
      </c>
      <c r="AA33" s="295">
        <f>'Enter Results'!J108</f>
        <v>0</v>
      </c>
      <c r="AB33" s="249">
        <f>'Enter Results'!M108</f>
        <v>0</v>
      </c>
      <c r="AC33" s="129">
        <f>'Enter Results'!N108</f>
        <v>0</v>
      </c>
      <c r="AF33" s="192"/>
      <c r="AG33" s="192"/>
    </row>
    <row r="34" spans="3:39" x14ac:dyDescent="0.25">
      <c r="C34" s="120" t="s">
        <v>5</v>
      </c>
      <c r="D34" s="100"/>
      <c r="E34" s="293">
        <f>'Enter Results'!G73</f>
        <v>0</v>
      </c>
      <c r="F34" s="294">
        <f>'Enter Results'!H73</f>
        <v>0</v>
      </c>
      <c r="G34" s="294">
        <f>'Enter Results'!I73</f>
        <v>0</v>
      </c>
      <c r="H34" s="295">
        <f>'Enter Results'!J73</f>
        <v>0</v>
      </c>
      <c r="I34" s="249">
        <f>'Enter Results'!M73</f>
        <v>0</v>
      </c>
      <c r="J34" s="584">
        <f>'Enter Results'!N73</f>
        <v>0</v>
      </c>
      <c r="K34" s="585"/>
      <c r="L34" s="293">
        <f>'Enter Results'!G85</f>
        <v>0</v>
      </c>
      <c r="M34" s="294">
        <f>'Enter Results'!H85</f>
        <v>0</v>
      </c>
      <c r="N34" s="294">
        <f>'Enter Results'!I85</f>
        <v>0</v>
      </c>
      <c r="O34" s="295">
        <f>'Enter Results'!J85</f>
        <v>0</v>
      </c>
      <c r="P34" s="249">
        <f>'Enter Results'!M85</f>
        <v>0</v>
      </c>
      <c r="Q34" s="217">
        <f>'Enter Results'!N85</f>
        <v>0</v>
      </c>
      <c r="R34" s="293">
        <f>'Enter Results'!G97</f>
        <v>0</v>
      </c>
      <c r="S34" s="294">
        <f>'Enter Results'!H97</f>
        <v>0</v>
      </c>
      <c r="T34" s="294">
        <f>'Enter Results'!I97</f>
        <v>0</v>
      </c>
      <c r="U34" s="295">
        <f>'Enter Results'!J97</f>
        <v>0</v>
      </c>
      <c r="V34" s="249">
        <f>'Enter Results'!M97</f>
        <v>0</v>
      </c>
      <c r="W34" s="217">
        <f>'Enter Results'!N97</f>
        <v>0</v>
      </c>
      <c r="X34" s="293">
        <f>'Enter Results'!G109</f>
        <v>0</v>
      </c>
      <c r="Y34" s="294">
        <f>'Enter Results'!H109</f>
        <v>0</v>
      </c>
      <c r="Z34" s="294">
        <f>'Enter Results'!I109</f>
        <v>0</v>
      </c>
      <c r="AA34" s="295">
        <f>'Enter Results'!J109</f>
        <v>0</v>
      </c>
      <c r="AB34" s="249">
        <f>'Enter Results'!M109</f>
        <v>0</v>
      </c>
      <c r="AC34" s="129">
        <f>'Enter Results'!N109</f>
        <v>0</v>
      </c>
      <c r="AF34" s="193"/>
      <c r="AG34" s="193"/>
    </row>
    <row r="35" spans="3:39" x14ac:dyDescent="0.25">
      <c r="C35" s="120" t="s">
        <v>248</v>
      </c>
      <c r="D35" s="100"/>
      <c r="E35" s="293">
        <f>'Enter Results'!G74</f>
        <v>0</v>
      </c>
      <c r="F35" s="294">
        <f>'Enter Results'!H74</f>
        <v>0</v>
      </c>
      <c r="G35" s="294">
        <f>'Enter Results'!I74</f>
        <v>0</v>
      </c>
      <c r="H35" s="295">
        <f>'Enter Results'!J74</f>
        <v>0</v>
      </c>
      <c r="I35" s="249">
        <f>'Enter Results'!M74</f>
        <v>0</v>
      </c>
      <c r="J35" s="584">
        <f>'Enter Results'!N74</f>
        <v>0</v>
      </c>
      <c r="K35" s="585"/>
      <c r="L35" s="293">
        <f>'Enter Results'!G86</f>
        <v>0</v>
      </c>
      <c r="M35" s="294">
        <f>'Enter Results'!H86</f>
        <v>0</v>
      </c>
      <c r="N35" s="294">
        <f>'Enter Results'!I86</f>
        <v>0</v>
      </c>
      <c r="O35" s="295">
        <f>'Enter Results'!J86</f>
        <v>0</v>
      </c>
      <c r="P35" s="249">
        <f>'Enter Results'!M86</f>
        <v>0</v>
      </c>
      <c r="Q35" s="217">
        <f>'Enter Results'!N86</f>
        <v>0</v>
      </c>
      <c r="R35" s="293">
        <f>'Enter Results'!G98</f>
        <v>0</v>
      </c>
      <c r="S35" s="294">
        <f>'Enter Results'!H98</f>
        <v>0</v>
      </c>
      <c r="T35" s="294">
        <f>'Enter Results'!I98</f>
        <v>0</v>
      </c>
      <c r="U35" s="295">
        <f>'Enter Results'!J98</f>
        <v>0</v>
      </c>
      <c r="V35" s="249">
        <f>'Enter Results'!M98</f>
        <v>0</v>
      </c>
      <c r="W35" s="217">
        <f>'Enter Results'!N98</f>
        <v>0</v>
      </c>
      <c r="X35" s="293">
        <f>'Enter Results'!G110</f>
        <v>0</v>
      </c>
      <c r="Y35" s="294">
        <f>'Enter Results'!H110</f>
        <v>0</v>
      </c>
      <c r="Z35" s="294">
        <f>'Enter Results'!I110</f>
        <v>0</v>
      </c>
      <c r="AA35" s="295">
        <f>'Enter Results'!J110</f>
        <v>0</v>
      </c>
      <c r="AB35" s="249">
        <f>'Enter Results'!M110</f>
        <v>0</v>
      </c>
      <c r="AC35" s="129">
        <f>'Enter Results'!N110</f>
        <v>0</v>
      </c>
      <c r="AF35" s="193"/>
      <c r="AG35" s="114" t="s">
        <v>148</v>
      </c>
      <c r="AH35" s="196"/>
      <c r="AI35" s="196"/>
      <c r="AJ35" s="196"/>
      <c r="AK35" s="124"/>
    </row>
    <row r="36" spans="3:39" x14ac:dyDescent="0.25">
      <c r="C36" s="120" t="s">
        <v>15</v>
      </c>
      <c r="D36" s="100"/>
      <c r="E36" s="293">
        <f>'Enter Results'!G75</f>
        <v>0</v>
      </c>
      <c r="F36" s="294">
        <f>'Enter Results'!H75</f>
        <v>0</v>
      </c>
      <c r="G36" s="294">
        <f>'Enter Results'!I75</f>
        <v>0</v>
      </c>
      <c r="H36" s="295">
        <f>'Enter Results'!J75</f>
        <v>0</v>
      </c>
      <c r="I36" s="249">
        <f>'Enter Results'!M75</f>
        <v>0</v>
      </c>
      <c r="J36" s="584">
        <f>'Enter Results'!N75</f>
        <v>0</v>
      </c>
      <c r="K36" s="585"/>
      <c r="L36" s="293">
        <f>'Enter Results'!G87</f>
        <v>0</v>
      </c>
      <c r="M36" s="294">
        <f>'Enter Results'!H87</f>
        <v>0</v>
      </c>
      <c r="N36" s="294">
        <f>'Enter Results'!I87</f>
        <v>0</v>
      </c>
      <c r="O36" s="295">
        <f>'Enter Results'!J87</f>
        <v>0</v>
      </c>
      <c r="P36" s="249">
        <f>'Enter Results'!M87</f>
        <v>0</v>
      </c>
      <c r="Q36" s="217">
        <f>'Enter Results'!N87</f>
        <v>0</v>
      </c>
      <c r="R36" s="293">
        <f>'Enter Results'!G99</f>
        <v>0</v>
      </c>
      <c r="S36" s="294">
        <f>'Enter Results'!H99</f>
        <v>0</v>
      </c>
      <c r="T36" s="294">
        <f>'Enter Results'!I99</f>
        <v>0</v>
      </c>
      <c r="U36" s="295">
        <f>'Enter Results'!J99</f>
        <v>0</v>
      </c>
      <c r="V36" s="249">
        <f>'Enter Results'!M99</f>
        <v>0</v>
      </c>
      <c r="W36" s="217">
        <f>'Enter Results'!N99</f>
        <v>0</v>
      </c>
      <c r="X36" s="293">
        <f>'Enter Results'!G111</f>
        <v>0</v>
      </c>
      <c r="Y36" s="294">
        <f>'Enter Results'!H111</f>
        <v>0</v>
      </c>
      <c r="Z36" s="294">
        <f>'Enter Results'!I111</f>
        <v>0</v>
      </c>
      <c r="AA36" s="295">
        <f>'Enter Results'!J111</f>
        <v>0</v>
      </c>
      <c r="AB36" s="249">
        <f>'Enter Results'!M111</f>
        <v>0</v>
      </c>
      <c r="AC36" s="129">
        <f>'Enter Results'!N111</f>
        <v>0</v>
      </c>
      <c r="AF36" s="114" t="s">
        <v>145</v>
      </c>
      <c r="AG36" s="124"/>
      <c r="AH36" s="195"/>
      <c r="AI36" s="124"/>
    </row>
    <row r="37" spans="3:39" ht="15.75" thickBot="1" x14ac:dyDescent="0.3">
      <c r="C37" s="120" t="s">
        <v>6</v>
      </c>
      <c r="D37" s="100"/>
      <c r="E37" s="293">
        <f>'Enter Results'!G76</f>
        <v>0</v>
      </c>
      <c r="F37" s="294">
        <f>'Enter Results'!H76</f>
        <v>0</v>
      </c>
      <c r="G37" s="294">
        <f>'Enter Results'!I76</f>
        <v>0</v>
      </c>
      <c r="H37" s="295">
        <f>'Enter Results'!J76</f>
        <v>0</v>
      </c>
      <c r="I37" s="250">
        <f>'Enter Results'!M76</f>
        <v>0</v>
      </c>
      <c r="J37" s="595">
        <f>'Enter Results'!N76</f>
        <v>0</v>
      </c>
      <c r="K37" s="596"/>
      <c r="L37" s="293">
        <f>'Enter Results'!G88</f>
        <v>0</v>
      </c>
      <c r="M37" s="294">
        <f>'Enter Results'!H88</f>
        <v>0</v>
      </c>
      <c r="N37" s="294">
        <f>'Enter Results'!I88</f>
        <v>0</v>
      </c>
      <c r="O37" s="295">
        <f>'Enter Results'!J88</f>
        <v>0</v>
      </c>
      <c r="P37" s="250">
        <f>'Enter Results'!M88</f>
        <v>0</v>
      </c>
      <c r="Q37" s="218">
        <f>'Enter Results'!N88</f>
        <v>0</v>
      </c>
      <c r="R37" s="293">
        <f>'Enter Results'!G100</f>
        <v>0</v>
      </c>
      <c r="S37" s="294">
        <f>'Enter Results'!H100</f>
        <v>0</v>
      </c>
      <c r="T37" s="294">
        <f>'Enter Results'!I100</f>
        <v>0</v>
      </c>
      <c r="U37" s="295">
        <f>'Enter Results'!J100</f>
        <v>0</v>
      </c>
      <c r="V37" s="250">
        <f>'Enter Results'!M100</f>
        <v>0</v>
      </c>
      <c r="W37" s="218">
        <f>'Enter Results'!N100</f>
        <v>0</v>
      </c>
      <c r="X37" s="293">
        <f>'Enter Results'!G112</f>
        <v>0</v>
      </c>
      <c r="Y37" s="294">
        <f>'Enter Results'!H112</f>
        <v>0</v>
      </c>
      <c r="Z37" s="294">
        <f>'Enter Results'!I112</f>
        <v>0</v>
      </c>
      <c r="AA37" s="295">
        <f>'Enter Results'!J112</f>
        <v>0</v>
      </c>
      <c r="AB37" s="250">
        <f>'Enter Results'!M112</f>
        <v>0</v>
      </c>
      <c r="AC37" s="252">
        <f>'Enter Results'!N112</f>
        <v>0</v>
      </c>
    </row>
    <row r="38" spans="3:39" ht="15.75" thickBot="1" x14ac:dyDescent="0.3">
      <c r="C38" s="123" t="s">
        <v>65</v>
      </c>
      <c r="D38" s="124"/>
      <c r="E38" s="296">
        <f>SUM(E32:E37)</f>
        <v>0</v>
      </c>
      <c r="F38" s="297">
        <f>SUM(F32:F37)</f>
        <v>0</v>
      </c>
      <c r="G38" s="297">
        <f>SUM(G32:G37)</f>
        <v>0</v>
      </c>
      <c r="H38" s="298">
        <f>SUM(H32:H37)</f>
        <v>0</v>
      </c>
      <c r="I38" s="251">
        <f>'Enter Results'!M77</f>
        <v>0</v>
      </c>
      <c r="J38" s="580">
        <f>'Enter Results'!N77</f>
        <v>0</v>
      </c>
      <c r="K38" s="581"/>
      <c r="L38" s="296">
        <f>SUM(L32:L37)</f>
        <v>0</v>
      </c>
      <c r="M38" s="297">
        <f>SUM(M32:M37)</f>
        <v>0</v>
      </c>
      <c r="N38" s="297">
        <f>SUM(N32:N37)</f>
        <v>0</v>
      </c>
      <c r="O38" s="298">
        <f>SUM(O32:O37)</f>
        <v>0</v>
      </c>
      <c r="P38" s="251">
        <f>'Enter Results'!M89</f>
        <v>0</v>
      </c>
      <c r="Q38" s="219">
        <f>'Enter Results'!N89</f>
        <v>0</v>
      </c>
      <c r="R38" s="296">
        <f>SUM(R32:R37)</f>
        <v>0</v>
      </c>
      <c r="S38" s="297">
        <f>SUM(S32:S37)</f>
        <v>0</v>
      </c>
      <c r="T38" s="297">
        <f>SUM(T32:T37)</f>
        <v>0</v>
      </c>
      <c r="U38" s="298">
        <f>SUM(U32:U37)</f>
        <v>0</v>
      </c>
      <c r="V38" s="251">
        <f>'Enter Results'!M101</f>
        <v>0</v>
      </c>
      <c r="W38" s="219">
        <f>'Enter Results'!N101</f>
        <v>0</v>
      </c>
      <c r="X38" s="296">
        <f>SUM(X32:X37)</f>
        <v>0</v>
      </c>
      <c r="Y38" s="297">
        <f>SUM(Y32:Y37)</f>
        <v>0</v>
      </c>
      <c r="Z38" s="297">
        <f>SUM(Z32:Z37)</f>
        <v>0</v>
      </c>
      <c r="AA38" s="298">
        <f>SUM(AA32:AA37)</f>
        <v>0</v>
      </c>
      <c r="AB38" s="251">
        <f>'Enter Results'!M113</f>
        <v>0</v>
      </c>
      <c r="AC38" s="253">
        <f>'Enter Results'!N113</f>
        <v>0</v>
      </c>
      <c r="AF38" s="63" t="s">
        <v>64</v>
      </c>
      <c r="AG38" s="65"/>
      <c r="AH38" s="65"/>
      <c r="AI38" s="66"/>
      <c r="AJ38" s="59" t="s">
        <v>160</v>
      </c>
    </row>
    <row r="39" spans="3:39" x14ac:dyDescent="0.25">
      <c r="AF39" s="67" t="s">
        <v>62</v>
      </c>
      <c r="AG39" s="69" t="s">
        <v>10</v>
      </c>
      <c r="AH39" s="70" t="s">
        <v>63</v>
      </c>
      <c r="AI39" s="71"/>
    </row>
    <row r="40" spans="3:39" ht="15.75" thickBot="1" x14ac:dyDescent="0.3">
      <c r="C40" s="112"/>
      <c r="D40" s="113"/>
      <c r="E40" s="586" t="str">
        <f>Name9</f>
        <v>9</v>
      </c>
      <c r="F40" s="587"/>
      <c r="G40" s="587"/>
      <c r="H40" s="587"/>
      <c r="I40" s="587"/>
      <c r="J40" s="587"/>
      <c r="K40" s="234"/>
      <c r="L40" s="586" t="str">
        <f>Name10</f>
        <v>10</v>
      </c>
      <c r="M40" s="597"/>
      <c r="N40" s="598"/>
      <c r="O40" s="597"/>
      <c r="P40" s="598"/>
      <c r="Q40" s="599"/>
      <c r="R40" s="586" t="str">
        <f>Name11</f>
        <v>11</v>
      </c>
      <c r="S40" s="597"/>
      <c r="T40" s="598"/>
      <c r="U40" s="597"/>
      <c r="V40" s="598"/>
      <c r="W40" s="599"/>
      <c r="X40" s="586" t="str">
        <f>Name12</f>
        <v>12</v>
      </c>
      <c r="Y40" s="597"/>
      <c r="Z40" s="598"/>
      <c r="AA40" s="597"/>
      <c r="AB40" s="598"/>
      <c r="AC40" s="599"/>
      <c r="AF40" s="72" t="s">
        <v>60</v>
      </c>
      <c r="AG40" s="74" t="s">
        <v>140</v>
      </c>
      <c r="AH40" s="75"/>
      <c r="AI40" s="76"/>
      <c r="AJ40" s="191" t="s">
        <v>162</v>
      </c>
      <c r="AL40" s="191" t="s">
        <v>161</v>
      </c>
      <c r="AM40" s="191" t="s">
        <v>159</v>
      </c>
    </row>
    <row r="41" spans="3:39" ht="27" customHeight="1" thickBot="1" x14ac:dyDescent="0.3">
      <c r="C41" s="112"/>
      <c r="D41" s="113"/>
      <c r="E41" s="588" t="s">
        <v>188</v>
      </c>
      <c r="F41" s="566"/>
      <c r="G41" s="566"/>
      <c r="H41" s="566"/>
      <c r="I41" s="589" t="s">
        <v>186</v>
      </c>
      <c r="J41" s="591" t="s">
        <v>187</v>
      </c>
      <c r="K41" s="592"/>
      <c r="L41" s="588" t="s">
        <v>188</v>
      </c>
      <c r="M41" s="566"/>
      <c r="N41" s="566"/>
      <c r="O41" s="566"/>
      <c r="P41" s="589" t="s">
        <v>186</v>
      </c>
      <c r="Q41" s="591" t="s">
        <v>187</v>
      </c>
      <c r="R41" s="588" t="s">
        <v>188</v>
      </c>
      <c r="S41" s="566"/>
      <c r="T41" s="566"/>
      <c r="U41" s="566"/>
      <c r="V41" s="589" t="s">
        <v>186</v>
      </c>
      <c r="W41" s="591" t="s">
        <v>187</v>
      </c>
      <c r="X41" s="588" t="s">
        <v>188</v>
      </c>
      <c r="Y41" s="566"/>
      <c r="Z41" s="566"/>
      <c r="AA41" s="566"/>
      <c r="AB41" s="589" t="s">
        <v>186</v>
      </c>
      <c r="AC41" s="604" t="s">
        <v>187</v>
      </c>
      <c r="AF41" s="72" t="s">
        <v>137</v>
      </c>
      <c r="AG41" s="74" t="s">
        <v>141</v>
      </c>
      <c r="AH41" s="77"/>
      <c r="AI41" s="76"/>
      <c r="AJ41" s="191" t="s">
        <v>165</v>
      </c>
      <c r="AL41" s="191" t="s">
        <v>161</v>
      </c>
      <c r="AM41" s="191" t="s">
        <v>158</v>
      </c>
    </row>
    <row r="42" spans="3:39" ht="19.5" customHeight="1" thickBot="1" x14ac:dyDescent="0.3">
      <c r="C42" s="114"/>
      <c r="D42" s="115"/>
      <c r="E42" s="58">
        <v>1</v>
      </c>
      <c r="F42" s="18">
        <v>2</v>
      </c>
      <c r="G42" s="18">
        <v>3</v>
      </c>
      <c r="H42" s="19">
        <v>4</v>
      </c>
      <c r="I42" s="590"/>
      <c r="J42" s="593"/>
      <c r="K42" s="594"/>
      <c r="L42" s="58">
        <v>1</v>
      </c>
      <c r="M42" s="18">
        <v>2</v>
      </c>
      <c r="N42" s="18">
        <v>3</v>
      </c>
      <c r="O42" s="19">
        <v>4</v>
      </c>
      <c r="P42" s="590"/>
      <c r="Q42" s="593"/>
      <c r="R42" s="58">
        <v>1</v>
      </c>
      <c r="S42" s="18">
        <v>2</v>
      </c>
      <c r="T42" s="18">
        <v>3</v>
      </c>
      <c r="U42" s="19">
        <v>4</v>
      </c>
      <c r="V42" s="590"/>
      <c r="W42" s="593"/>
      <c r="X42" s="58">
        <v>1</v>
      </c>
      <c r="Y42" s="18">
        <v>2</v>
      </c>
      <c r="Z42" s="18">
        <v>3</v>
      </c>
      <c r="AA42" s="19">
        <v>4</v>
      </c>
      <c r="AB42" s="590"/>
      <c r="AC42" s="605"/>
      <c r="AF42" s="72" t="s">
        <v>61</v>
      </c>
      <c r="AG42" s="74" t="s">
        <v>142</v>
      </c>
      <c r="AH42" s="187"/>
      <c r="AI42" s="76"/>
      <c r="AJ42" s="191" t="s">
        <v>166</v>
      </c>
      <c r="AL42" s="191" t="s">
        <v>161</v>
      </c>
      <c r="AM42" s="191" t="s">
        <v>157</v>
      </c>
    </row>
    <row r="43" spans="3:39" ht="15.75" thickBot="1" x14ac:dyDescent="0.3">
      <c r="C43" s="116" t="s">
        <v>3</v>
      </c>
      <c r="D43" s="117"/>
      <c r="E43" s="290">
        <f>'Enter Results'!G119</f>
        <v>0</v>
      </c>
      <c r="F43" s="291">
        <f>'Enter Results'!H119</f>
        <v>0</v>
      </c>
      <c r="G43" s="291">
        <f>'Enter Results'!I119</f>
        <v>0</v>
      </c>
      <c r="H43" s="292">
        <f>'Enter Results'!J119</f>
        <v>0</v>
      </c>
      <c r="I43" s="248">
        <f>'Enter Results'!M119</f>
        <v>0</v>
      </c>
      <c r="J43" s="582">
        <f>'Enter Results'!N119</f>
        <v>0</v>
      </c>
      <c r="K43" s="583"/>
      <c r="L43" s="290">
        <f>'Enter Results'!G131</f>
        <v>0</v>
      </c>
      <c r="M43" s="291">
        <f>'Enter Results'!H131</f>
        <v>0</v>
      </c>
      <c r="N43" s="291">
        <f>'Enter Results'!I131</f>
        <v>0</v>
      </c>
      <c r="O43" s="292">
        <f>'Enter Results'!J131</f>
        <v>0</v>
      </c>
      <c r="P43" s="248">
        <f>'Enter Results'!M131</f>
        <v>0</v>
      </c>
      <c r="Q43" s="216">
        <f>'Enter Results'!N131</f>
        <v>0</v>
      </c>
      <c r="R43" s="290">
        <f>'Enter Results'!G143</f>
        <v>0</v>
      </c>
      <c r="S43" s="291">
        <f>'Enter Results'!H143</f>
        <v>0</v>
      </c>
      <c r="T43" s="291">
        <f>'Enter Results'!I143</f>
        <v>0</v>
      </c>
      <c r="U43" s="292">
        <f>'Enter Results'!J143</f>
        <v>0</v>
      </c>
      <c r="V43" s="248">
        <f>'Enter Results'!M143</f>
        <v>0</v>
      </c>
      <c r="W43" s="216">
        <f>'Enter Results'!N143</f>
        <v>0</v>
      </c>
      <c r="X43" s="290">
        <f>'Enter Results'!G155</f>
        <v>0</v>
      </c>
      <c r="Y43" s="291">
        <f>'Enter Results'!H155</f>
        <v>0</v>
      </c>
      <c r="Z43" s="291">
        <f>'Enter Results'!I155</f>
        <v>0</v>
      </c>
      <c r="AA43" s="292">
        <f>'Enter Results'!J155</f>
        <v>0</v>
      </c>
      <c r="AB43" s="248">
        <f>'Enter Results'!M155</f>
        <v>0</v>
      </c>
      <c r="AC43" s="128">
        <f>'Enter Results'!N155</f>
        <v>0</v>
      </c>
      <c r="AF43" s="78" t="s">
        <v>138</v>
      </c>
      <c r="AG43" s="80" t="s">
        <v>139</v>
      </c>
      <c r="AH43" s="81"/>
      <c r="AI43" s="82"/>
      <c r="AJ43" s="191" t="s">
        <v>163</v>
      </c>
      <c r="AL43" s="191" t="s">
        <v>161</v>
      </c>
      <c r="AM43" s="191" t="s">
        <v>164</v>
      </c>
    </row>
    <row r="44" spans="3:39" x14ac:dyDescent="0.25">
      <c r="C44" s="120" t="s">
        <v>4</v>
      </c>
      <c r="D44" s="100"/>
      <c r="E44" s="293">
        <f>'Enter Results'!G120</f>
        <v>0</v>
      </c>
      <c r="F44" s="294">
        <f>'Enter Results'!H120</f>
        <v>0</v>
      </c>
      <c r="G44" s="294">
        <f>'Enter Results'!I120</f>
        <v>0</v>
      </c>
      <c r="H44" s="295">
        <f>'Enter Results'!J120</f>
        <v>0</v>
      </c>
      <c r="I44" s="249">
        <f>'Enter Results'!M120</f>
        <v>0</v>
      </c>
      <c r="J44" s="584">
        <f>'Enter Results'!N120</f>
        <v>0</v>
      </c>
      <c r="K44" s="585"/>
      <c r="L44" s="293">
        <f>'Enter Results'!G132</f>
        <v>0</v>
      </c>
      <c r="M44" s="294">
        <f>'Enter Results'!H132</f>
        <v>0</v>
      </c>
      <c r="N44" s="294">
        <f>'Enter Results'!I132</f>
        <v>0</v>
      </c>
      <c r="O44" s="295">
        <f>'Enter Results'!J132</f>
        <v>0</v>
      </c>
      <c r="P44" s="249">
        <f>'Enter Results'!M132</f>
        <v>0</v>
      </c>
      <c r="Q44" s="217">
        <f>'Enter Results'!N132</f>
        <v>0</v>
      </c>
      <c r="R44" s="293">
        <f>'Enter Results'!G144</f>
        <v>0</v>
      </c>
      <c r="S44" s="294">
        <f>'Enter Results'!H144</f>
        <v>0</v>
      </c>
      <c r="T44" s="294">
        <f>'Enter Results'!I144</f>
        <v>0</v>
      </c>
      <c r="U44" s="295">
        <f>'Enter Results'!J144</f>
        <v>0</v>
      </c>
      <c r="V44" s="249">
        <f>'Enter Results'!M144</f>
        <v>0</v>
      </c>
      <c r="W44" s="217">
        <f>'Enter Results'!N144</f>
        <v>0</v>
      </c>
      <c r="X44" s="293">
        <f>'Enter Results'!G156</f>
        <v>0</v>
      </c>
      <c r="Y44" s="294">
        <f>'Enter Results'!H156</f>
        <v>0</v>
      </c>
      <c r="Z44" s="294">
        <f>'Enter Results'!I156</f>
        <v>0</v>
      </c>
      <c r="AA44" s="295">
        <f>'Enter Results'!J156</f>
        <v>0</v>
      </c>
      <c r="AB44" s="249">
        <f>'Enter Results'!M156</f>
        <v>0</v>
      </c>
      <c r="AC44" s="129">
        <f>'Enter Results'!N156</f>
        <v>0</v>
      </c>
    </row>
    <row r="45" spans="3:39" x14ac:dyDescent="0.25">
      <c r="C45" s="120" t="s">
        <v>5</v>
      </c>
      <c r="D45" s="100"/>
      <c r="E45" s="293">
        <f>'Enter Results'!G121</f>
        <v>0</v>
      </c>
      <c r="F45" s="294">
        <f>'Enter Results'!H121</f>
        <v>0</v>
      </c>
      <c r="G45" s="294">
        <f>'Enter Results'!I121</f>
        <v>0</v>
      </c>
      <c r="H45" s="295">
        <f>'Enter Results'!J121</f>
        <v>0</v>
      </c>
      <c r="I45" s="249">
        <f>'Enter Results'!M121</f>
        <v>0</v>
      </c>
      <c r="J45" s="584">
        <f>'Enter Results'!N121</f>
        <v>0</v>
      </c>
      <c r="K45" s="585"/>
      <c r="L45" s="293">
        <f>'Enter Results'!G133</f>
        <v>0</v>
      </c>
      <c r="M45" s="294">
        <f>'Enter Results'!H133</f>
        <v>0</v>
      </c>
      <c r="N45" s="294">
        <f>'Enter Results'!I133</f>
        <v>0</v>
      </c>
      <c r="O45" s="295">
        <f>'Enter Results'!J133</f>
        <v>0</v>
      </c>
      <c r="P45" s="249">
        <f>'Enter Results'!M133</f>
        <v>0</v>
      </c>
      <c r="Q45" s="217">
        <f>'Enter Results'!N133</f>
        <v>0</v>
      </c>
      <c r="R45" s="293">
        <f>'Enter Results'!G145</f>
        <v>0</v>
      </c>
      <c r="S45" s="294">
        <f>'Enter Results'!H145</f>
        <v>0</v>
      </c>
      <c r="T45" s="294">
        <f>'Enter Results'!I145</f>
        <v>0</v>
      </c>
      <c r="U45" s="295">
        <f>'Enter Results'!J145</f>
        <v>0</v>
      </c>
      <c r="V45" s="249">
        <f>'Enter Results'!M145</f>
        <v>0</v>
      </c>
      <c r="W45" s="217">
        <f>'Enter Results'!N145</f>
        <v>0</v>
      </c>
      <c r="X45" s="293">
        <f>'Enter Results'!G157</f>
        <v>0</v>
      </c>
      <c r="Y45" s="294">
        <f>'Enter Results'!H157</f>
        <v>0</v>
      </c>
      <c r="Z45" s="294">
        <f>'Enter Results'!I157</f>
        <v>0</v>
      </c>
      <c r="AA45" s="295">
        <f>'Enter Results'!J157</f>
        <v>0</v>
      </c>
      <c r="AB45" s="249">
        <f>'Enter Results'!M157</f>
        <v>0</v>
      </c>
      <c r="AC45" s="129">
        <f>'Enter Results'!N157</f>
        <v>0</v>
      </c>
    </row>
    <row r="46" spans="3:39" x14ac:dyDescent="0.25">
      <c r="C46" s="120" t="s">
        <v>248</v>
      </c>
      <c r="D46" s="100"/>
      <c r="E46" s="293">
        <f>'Enter Results'!G122</f>
        <v>0</v>
      </c>
      <c r="F46" s="294">
        <f>'Enter Results'!H122</f>
        <v>0</v>
      </c>
      <c r="G46" s="294">
        <f>'Enter Results'!I122</f>
        <v>0</v>
      </c>
      <c r="H46" s="295">
        <f>'Enter Results'!J122</f>
        <v>0</v>
      </c>
      <c r="I46" s="249">
        <f>'Enter Results'!M122</f>
        <v>0</v>
      </c>
      <c r="J46" s="584">
        <f>'Enter Results'!N122</f>
        <v>0</v>
      </c>
      <c r="K46" s="585"/>
      <c r="L46" s="293">
        <f>'Enter Results'!G134</f>
        <v>0</v>
      </c>
      <c r="M46" s="294">
        <f>'Enter Results'!H134</f>
        <v>0</v>
      </c>
      <c r="N46" s="294">
        <f>'Enter Results'!I134</f>
        <v>0</v>
      </c>
      <c r="O46" s="295">
        <f>'Enter Results'!J134</f>
        <v>0</v>
      </c>
      <c r="P46" s="249">
        <f>'Enter Results'!M134</f>
        <v>0</v>
      </c>
      <c r="Q46" s="217">
        <f>'Enter Results'!N134</f>
        <v>0</v>
      </c>
      <c r="R46" s="293">
        <f>'Enter Results'!G146</f>
        <v>0</v>
      </c>
      <c r="S46" s="294">
        <f>'Enter Results'!H146</f>
        <v>0</v>
      </c>
      <c r="T46" s="294">
        <f>'Enter Results'!I146</f>
        <v>0</v>
      </c>
      <c r="U46" s="295">
        <f>'Enter Results'!J146</f>
        <v>0</v>
      </c>
      <c r="V46" s="249">
        <f>'Enter Results'!M146</f>
        <v>0</v>
      </c>
      <c r="W46" s="217">
        <f>'Enter Results'!N146</f>
        <v>0</v>
      </c>
      <c r="X46" s="293">
        <f>'Enter Results'!G158</f>
        <v>0</v>
      </c>
      <c r="Y46" s="294">
        <f>'Enter Results'!H158</f>
        <v>0</v>
      </c>
      <c r="Z46" s="294">
        <f>'Enter Results'!I158</f>
        <v>0</v>
      </c>
      <c r="AA46" s="295">
        <f>'Enter Results'!J158</f>
        <v>0</v>
      </c>
      <c r="AB46" s="249">
        <f>'Enter Results'!M158</f>
        <v>0</v>
      </c>
      <c r="AC46" s="129">
        <f>'Enter Results'!N158</f>
        <v>0</v>
      </c>
    </row>
    <row r="47" spans="3:39" x14ac:dyDescent="0.25">
      <c r="C47" s="120" t="s">
        <v>15</v>
      </c>
      <c r="D47" s="100"/>
      <c r="E47" s="293">
        <f>'Enter Results'!G123</f>
        <v>0</v>
      </c>
      <c r="F47" s="294">
        <f>'Enter Results'!H123</f>
        <v>0</v>
      </c>
      <c r="G47" s="294">
        <f>'Enter Results'!I123</f>
        <v>0</v>
      </c>
      <c r="H47" s="295">
        <f>'Enter Results'!J123</f>
        <v>0</v>
      </c>
      <c r="I47" s="249">
        <f>'Enter Results'!M123</f>
        <v>0</v>
      </c>
      <c r="J47" s="584">
        <f>'Enter Results'!N123</f>
        <v>0</v>
      </c>
      <c r="K47" s="585"/>
      <c r="L47" s="293">
        <f>'Enter Results'!G135</f>
        <v>0</v>
      </c>
      <c r="M47" s="294">
        <f>'Enter Results'!H135</f>
        <v>0</v>
      </c>
      <c r="N47" s="294">
        <f>'Enter Results'!I135</f>
        <v>0</v>
      </c>
      <c r="O47" s="295">
        <f>'Enter Results'!J135</f>
        <v>0</v>
      </c>
      <c r="P47" s="249">
        <f>'Enter Results'!M135</f>
        <v>0</v>
      </c>
      <c r="Q47" s="217">
        <f>'Enter Results'!N135</f>
        <v>0</v>
      </c>
      <c r="R47" s="293">
        <f>'Enter Results'!G147</f>
        <v>0</v>
      </c>
      <c r="S47" s="294">
        <f>'Enter Results'!H147</f>
        <v>0</v>
      </c>
      <c r="T47" s="294">
        <f>'Enter Results'!I147</f>
        <v>0</v>
      </c>
      <c r="U47" s="295">
        <f>'Enter Results'!J147</f>
        <v>0</v>
      </c>
      <c r="V47" s="249">
        <f>'Enter Results'!M147</f>
        <v>0</v>
      </c>
      <c r="W47" s="217">
        <f>'Enter Results'!N147</f>
        <v>0</v>
      </c>
      <c r="X47" s="293">
        <f>'Enter Results'!G159</f>
        <v>0</v>
      </c>
      <c r="Y47" s="294">
        <f>'Enter Results'!H159</f>
        <v>0</v>
      </c>
      <c r="Z47" s="294">
        <f>'Enter Results'!I159</f>
        <v>0</v>
      </c>
      <c r="AA47" s="295">
        <f>'Enter Results'!J159</f>
        <v>0</v>
      </c>
      <c r="AB47" s="249">
        <f>'Enter Results'!M159</f>
        <v>0</v>
      </c>
      <c r="AC47" s="129">
        <f>'Enter Results'!N159</f>
        <v>0</v>
      </c>
    </row>
    <row r="48" spans="3:39" x14ac:dyDescent="0.25">
      <c r="C48" s="120" t="s">
        <v>6</v>
      </c>
      <c r="D48" s="100"/>
      <c r="E48" s="293">
        <f>'Enter Results'!G124</f>
        <v>0</v>
      </c>
      <c r="F48" s="294">
        <f>'Enter Results'!H124</f>
        <v>0</v>
      </c>
      <c r="G48" s="294">
        <f>'Enter Results'!I124</f>
        <v>0</v>
      </c>
      <c r="H48" s="295">
        <f>'Enter Results'!J124</f>
        <v>0</v>
      </c>
      <c r="I48" s="250">
        <f>'Enter Results'!M124</f>
        <v>0</v>
      </c>
      <c r="J48" s="595">
        <f>'Enter Results'!N124</f>
        <v>0</v>
      </c>
      <c r="K48" s="596"/>
      <c r="L48" s="293">
        <f>'Enter Results'!G136</f>
        <v>0</v>
      </c>
      <c r="M48" s="294">
        <f>'Enter Results'!H136</f>
        <v>0</v>
      </c>
      <c r="N48" s="294">
        <f>'Enter Results'!I136</f>
        <v>0</v>
      </c>
      <c r="O48" s="295">
        <f>'Enter Results'!J136</f>
        <v>0</v>
      </c>
      <c r="P48" s="250">
        <f>'Enter Results'!M136</f>
        <v>0</v>
      </c>
      <c r="Q48" s="218">
        <f>'Enter Results'!N136</f>
        <v>0</v>
      </c>
      <c r="R48" s="293">
        <f>'Enter Results'!G148</f>
        <v>0</v>
      </c>
      <c r="S48" s="294">
        <f>'Enter Results'!H148</f>
        <v>0</v>
      </c>
      <c r="T48" s="294">
        <f>'Enter Results'!I148</f>
        <v>0</v>
      </c>
      <c r="U48" s="295">
        <f>'Enter Results'!J148</f>
        <v>0</v>
      </c>
      <c r="V48" s="250">
        <f>'Enter Results'!M148</f>
        <v>0</v>
      </c>
      <c r="W48" s="218">
        <f>'Enter Results'!N148</f>
        <v>0</v>
      </c>
      <c r="X48" s="293">
        <f>'Enter Results'!G160</f>
        <v>0</v>
      </c>
      <c r="Y48" s="294">
        <f>'Enter Results'!H160</f>
        <v>0</v>
      </c>
      <c r="Z48" s="294">
        <f>'Enter Results'!I160</f>
        <v>0</v>
      </c>
      <c r="AA48" s="295">
        <f>'Enter Results'!J160</f>
        <v>0</v>
      </c>
      <c r="AB48" s="250">
        <f>'Enter Results'!M160</f>
        <v>0</v>
      </c>
      <c r="AC48" s="252">
        <f>'Enter Results'!N160</f>
        <v>0</v>
      </c>
    </row>
    <row r="49" spans="3:29" x14ac:dyDescent="0.25">
      <c r="C49" s="123" t="s">
        <v>65</v>
      </c>
      <c r="D49" s="124"/>
      <c r="E49" s="296">
        <f>SUM(E43:E48)</f>
        <v>0</v>
      </c>
      <c r="F49" s="297">
        <f>SUM(F43:F48)</f>
        <v>0</v>
      </c>
      <c r="G49" s="297">
        <f>SUM(G43:G48)</f>
        <v>0</v>
      </c>
      <c r="H49" s="298">
        <f>SUM(H43:H48)</f>
        <v>0</v>
      </c>
      <c r="I49" s="251">
        <f>'Enter Results'!M125</f>
        <v>0</v>
      </c>
      <c r="J49" s="580">
        <f>'Enter Results'!N125</f>
        <v>0</v>
      </c>
      <c r="K49" s="581"/>
      <c r="L49" s="296">
        <f>SUM(L43:L48)</f>
        <v>0</v>
      </c>
      <c r="M49" s="297">
        <f>SUM(M43:M48)</f>
        <v>0</v>
      </c>
      <c r="N49" s="297">
        <f>SUM(N43:N48)</f>
        <v>0</v>
      </c>
      <c r="O49" s="298">
        <f>SUM(O43:O48)</f>
        <v>0</v>
      </c>
      <c r="P49" s="251">
        <f>'Enter Results'!M137</f>
        <v>0</v>
      </c>
      <c r="Q49" s="219">
        <f>'Enter Results'!N137</f>
        <v>0</v>
      </c>
      <c r="R49" s="296">
        <f>SUM(R43:R48)</f>
        <v>0</v>
      </c>
      <c r="S49" s="297">
        <f>SUM(S43:S48)</f>
        <v>0</v>
      </c>
      <c r="T49" s="297">
        <f>SUM(T43:T48)</f>
        <v>0</v>
      </c>
      <c r="U49" s="298">
        <f>SUM(U43:U48)</f>
        <v>0</v>
      </c>
      <c r="V49" s="251">
        <f>'Enter Results'!M149</f>
        <v>0</v>
      </c>
      <c r="W49" s="219">
        <f>'Enter Results'!N149</f>
        <v>0</v>
      </c>
      <c r="X49" s="296">
        <f>SUM(X43:X48)</f>
        <v>0</v>
      </c>
      <c r="Y49" s="297">
        <f>SUM(Y43:Y48)</f>
        <v>0</v>
      </c>
      <c r="Z49" s="297">
        <f>SUM(Z43:Z48)</f>
        <v>0</v>
      </c>
      <c r="AA49" s="298">
        <f>SUM(AA43:AA48)</f>
        <v>0</v>
      </c>
      <c r="AB49" s="251">
        <f>'Enter Results'!M161</f>
        <v>0</v>
      </c>
      <c r="AC49" s="253">
        <f>'Enter Results'!N161</f>
        <v>0</v>
      </c>
    </row>
    <row r="50" spans="3:29" ht="2.25" customHeight="1" x14ac:dyDescent="0.25"/>
  </sheetData>
  <sheetProtection algorithmName="SHA-512" hashValue="ksD7vUC1xDhTHAiGB++gx7CxPNnJnBPRa87+Q7LcyBBBJKVZjw1va9F9QTVkIG1Sdm5ckJGIwpsl/eA4tKM6uA==" saltValue="7BInuKHeAxUMsU5zDLMalQ==" spinCount="100000" sheet="1" objects="1" scenarios="1" selectLockedCells="1" selectUnlockedCells="1"/>
  <mergeCells count="125">
    <mergeCell ref="J32:K32"/>
    <mergeCell ref="J38:K38"/>
    <mergeCell ref="E30:H30"/>
    <mergeCell ref="X30:AA30"/>
    <mergeCell ref="J33:K33"/>
    <mergeCell ref="J35:K35"/>
    <mergeCell ref="R30:U30"/>
    <mergeCell ref="W30:W31"/>
    <mergeCell ref="J36:K36"/>
    <mergeCell ref="J37:K37"/>
    <mergeCell ref="AI13:AJ13"/>
    <mergeCell ref="AI14:AJ14"/>
    <mergeCell ref="K6:M7"/>
    <mergeCell ref="K8:M8"/>
    <mergeCell ref="K13:M13"/>
    <mergeCell ref="AI6:AJ7"/>
    <mergeCell ref="AI8:AJ8"/>
    <mergeCell ref="AI9:AJ9"/>
    <mergeCell ref="K10:M10"/>
    <mergeCell ref="K11:M11"/>
    <mergeCell ref="AE11:AF11"/>
    <mergeCell ref="AG13:AH13"/>
    <mergeCell ref="AG14:AH14"/>
    <mergeCell ref="AG10:AH10"/>
    <mergeCell ref="AG11:AH11"/>
    <mergeCell ref="AG12:AH12"/>
    <mergeCell ref="K12:M12"/>
    <mergeCell ref="AE10:AF10"/>
    <mergeCell ref="AE9:AF9"/>
    <mergeCell ref="AK6:AL7"/>
    <mergeCell ref="AK9:AL9"/>
    <mergeCell ref="AK10:AL10"/>
    <mergeCell ref="AK11:AL11"/>
    <mergeCell ref="AK12:AL12"/>
    <mergeCell ref="AK13:AL13"/>
    <mergeCell ref="AK8:AL8"/>
    <mergeCell ref="AK14:AL14"/>
    <mergeCell ref="L30:O30"/>
    <mergeCell ref="AE8:AF8"/>
    <mergeCell ref="P19:P20"/>
    <mergeCell ref="AE12:AF12"/>
    <mergeCell ref="AA5:AC8"/>
    <mergeCell ref="O5:Z9"/>
    <mergeCell ref="AI10:AJ10"/>
    <mergeCell ref="AI11:AJ11"/>
    <mergeCell ref="AI12:AJ12"/>
    <mergeCell ref="AG6:AH7"/>
    <mergeCell ref="AG8:AH8"/>
    <mergeCell ref="AG9:AH9"/>
    <mergeCell ref="K9:M9"/>
    <mergeCell ref="AE6:AF7"/>
    <mergeCell ref="W19:W20"/>
    <mergeCell ref="AB19:AB20"/>
    <mergeCell ref="X18:AC18"/>
    <mergeCell ref="E18:J18"/>
    <mergeCell ref="E19:H19"/>
    <mergeCell ref="J23:K23"/>
    <mergeCell ref="J24:K24"/>
    <mergeCell ref="I19:I20"/>
    <mergeCell ref="J19:K20"/>
    <mergeCell ref="L18:Q18"/>
    <mergeCell ref="R18:W18"/>
    <mergeCell ref="V19:V20"/>
    <mergeCell ref="Q19:Q20"/>
    <mergeCell ref="AC30:AC31"/>
    <mergeCell ref="L19:O19"/>
    <mergeCell ref="J30:K31"/>
    <mergeCell ref="P30:P31"/>
    <mergeCell ref="E29:J29"/>
    <mergeCell ref="J21:K21"/>
    <mergeCell ref="J22:K22"/>
    <mergeCell ref="I30:I31"/>
    <mergeCell ref="J25:K25"/>
    <mergeCell ref="J26:K26"/>
    <mergeCell ref="J27:K27"/>
    <mergeCell ref="L41:O41"/>
    <mergeCell ref="W41:W42"/>
    <mergeCell ref="Q41:Q42"/>
    <mergeCell ref="V41:V42"/>
    <mergeCell ref="R40:W40"/>
    <mergeCell ref="X29:AC29"/>
    <mergeCell ref="AB41:AB42"/>
    <mergeCell ref="AB30:AB31"/>
    <mergeCell ref="AE13:AF13"/>
    <mergeCell ref="V30:V31"/>
    <mergeCell ref="R19:U19"/>
    <mergeCell ref="X19:AA19"/>
    <mergeCell ref="AE14:AF14"/>
    <mergeCell ref="AC41:AC42"/>
    <mergeCell ref="R41:U41"/>
    <mergeCell ref="Y15:AC16"/>
    <mergeCell ref="X41:AA41"/>
    <mergeCell ref="Q30:Q31"/>
    <mergeCell ref="AC19:AC20"/>
    <mergeCell ref="P41:P42"/>
    <mergeCell ref="L29:Q29"/>
    <mergeCell ref="R29:W29"/>
    <mergeCell ref="L40:Q40"/>
    <mergeCell ref="X40:AC40"/>
    <mergeCell ref="J49:K49"/>
    <mergeCell ref="J43:K43"/>
    <mergeCell ref="J44:K44"/>
    <mergeCell ref="J45:K45"/>
    <mergeCell ref="J34:K34"/>
    <mergeCell ref="E40:J40"/>
    <mergeCell ref="E41:H41"/>
    <mergeCell ref="I41:I42"/>
    <mergeCell ref="J41:K42"/>
    <mergeCell ref="J46:K46"/>
    <mergeCell ref="J47:K47"/>
    <mergeCell ref="J48:K48"/>
    <mergeCell ref="C1:AC1"/>
    <mergeCell ref="C2:AC2"/>
    <mergeCell ref="C3:AC3"/>
    <mergeCell ref="I9:J9"/>
    <mergeCell ref="I10:J10"/>
    <mergeCell ref="I14:J14"/>
    <mergeCell ref="E6:H6"/>
    <mergeCell ref="I6:J7"/>
    <mergeCell ref="I8:J8"/>
    <mergeCell ref="E5:M5"/>
    <mergeCell ref="K14:M14"/>
    <mergeCell ref="I11:J11"/>
    <mergeCell ref="I12:J12"/>
    <mergeCell ref="I13:J13"/>
  </mergeCells>
  <phoneticPr fontId="5" type="noConversion"/>
  <conditionalFormatting sqref="C1:C3">
    <cfRule type="containsText" dxfId="171" priority="126" stopIfTrue="1" operator="containsText" text="Go to ENTER RESULTS tab &amp; Enter">
      <formula>NOT(ISERROR(SEARCH("Go to ENTER RESULTS tab &amp; Enter",C1)))</formula>
    </cfRule>
  </conditionalFormatting>
  <conditionalFormatting sqref="K8:M14 J21:K21">
    <cfRule type="cellIs" dxfId="170" priority="122" stopIfTrue="1" operator="between">
      <formula>0.84499999999999</formula>
      <formula>0.795</formula>
    </cfRule>
    <cfRule type="cellIs" dxfId="169" priority="124" stopIfTrue="1" operator="between">
      <formula>1</formula>
      <formula>0.895</formula>
    </cfRule>
  </conditionalFormatting>
  <conditionalFormatting sqref="K8:M14 J21:K21">
    <cfRule type="cellIs" dxfId="168" priority="117" stopIfTrue="1" operator="between">
      <formula>0.794999999999999</formula>
      <formula>0.0001</formula>
    </cfRule>
    <cfRule type="cellIs" dxfId="167" priority="123" stopIfTrue="1" operator="between">
      <formula>0.894999999999999</formula>
      <formula>0.845</formula>
    </cfRule>
  </conditionalFormatting>
  <conditionalFormatting sqref="O5:Z6">
    <cfRule type="containsText" dxfId="166" priority="125" stopIfTrue="1" operator="containsText" text="YOU HAVE UNANSWERED QUESTIONS WHICH WILL AFFECT THE CALCULATED RESULTS - Go to Enter Results tab.">
      <formula>NOT(ISERROR(SEARCH("YOU HAVE UNANSWERED QUESTIONS WHICH WILL AFFECT THE CALCULATED RESULTS - Go to Enter Results tab.",O5)))</formula>
    </cfRule>
  </conditionalFormatting>
  <conditionalFormatting sqref="J22:K27">
    <cfRule type="cellIs" dxfId="165" priority="114" stopIfTrue="1" operator="between">
      <formula>0.84499999999999</formula>
      <formula>0.795</formula>
    </cfRule>
    <cfRule type="cellIs" dxfId="164" priority="116" stopIfTrue="1" operator="between">
      <formula>1</formula>
      <formula>0.895</formula>
    </cfRule>
  </conditionalFormatting>
  <conditionalFormatting sqref="J22:K27">
    <cfRule type="cellIs" dxfId="163" priority="113" stopIfTrue="1" operator="between">
      <formula>0.794999999999999</formula>
      <formula>0.0001</formula>
    </cfRule>
    <cfRule type="cellIs" dxfId="162" priority="115" stopIfTrue="1" operator="between">
      <formula>0.894999999999999</formula>
      <formula>0.845</formula>
    </cfRule>
  </conditionalFormatting>
  <conditionalFormatting sqref="Q21">
    <cfRule type="cellIs" dxfId="161" priority="86" stopIfTrue="1" operator="between">
      <formula>0.84499999999999</formula>
      <formula>0.795</formula>
    </cfRule>
    <cfRule type="cellIs" dxfId="160" priority="88" stopIfTrue="1" operator="between">
      <formula>1</formula>
      <formula>0.895</formula>
    </cfRule>
  </conditionalFormatting>
  <conditionalFormatting sqref="Q21">
    <cfRule type="cellIs" dxfId="159" priority="85" stopIfTrue="1" operator="between">
      <formula>0.794999999999999</formula>
      <formula>0.0001</formula>
    </cfRule>
    <cfRule type="cellIs" dxfId="158" priority="87" stopIfTrue="1" operator="between">
      <formula>0.894999999999999</formula>
      <formula>0.845</formula>
    </cfRule>
  </conditionalFormatting>
  <conditionalFormatting sqref="Q22:Q27">
    <cfRule type="cellIs" dxfId="157" priority="82" stopIfTrue="1" operator="between">
      <formula>0.84499999999999</formula>
      <formula>0.795</formula>
    </cfRule>
    <cfRule type="cellIs" dxfId="156" priority="84" stopIfTrue="1" operator="between">
      <formula>1</formula>
      <formula>0.895</formula>
    </cfRule>
  </conditionalFormatting>
  <conditionalFormatting sqref="Q22:Q27">
    <cfRule type="cellIs" dxfId="155" priority="81" stopIfTrue="1" operator="between">
      <formula>0.794999999999999</formula>
      <formula>0.0001</formula>
    </cfRule>
    <cfRule type="cellIs" dxfId="154" priority="83" stopIfTrue="1" operator="between">
      <formula>0.894999999999999</formula>
      <formula>0.845</formula>
    </cfRule>
  </conditionalFormatting>
  <conditionalFormatting sqref="W21">
    <cfRule type="cellIs" dxfId="153" priority="78" stopIfTrue="1" operator="between">
      <formula>0.84499999999999</formula>
      <formula>0.795</formula>
    </cfRule>
    <cfRule type="cellIs" dxfId="152" priority="80" stopIfTrue="1" operator="between">
      <formula>1</formula>
      <formula>0.895</formula>
    </cfRule>
  </conditionalFormatting>
  <conditionalFormatting sqref="W21">
    <cfRule type="cellIs" dxfId="151" priority="77" stopIfTrue="1" operator="between">
      <formula>0.794999999999999</formula>
      <formula>0.0001</formula>
    </cfRule>
    <cfRule type="cellIs" dxfId="150" priority="79" stopIfTrue="1" operator="between">
      <formula>0.894999999999999</formula>
      <formula>0.845</formula>
    </cfRule>
  </conditionalFormatting>
  <conditionalFormatting sqref="W22:W27">
    <cfRule type="cellIs" dxfId="149" priority="74" stopIfTrue="1" operator="between">
      <formula>0.84499999999999</formula>
      <formula>0.795</formula>
    </cfRule>
    <cfRule type="cellIs" dxfId="148" priority="76" stopIfTrue="1" operator="between">
      <formula>1</formula>
      <formula>0.895</formula>
    </cfRule>
  </conditionalFormatting>
  <conditionalFormatting sqref="W22:W27">
    <cfRule type="cellIs" dxfId="147" priority="73" stopIfTrue="1" operator="between">
      <formula>0.794999999999999</formula>
      <formula>0.0001</formula>
    </cfRule>
    <cfRule type="cellIs" dxfId="146" priority="75" stopIfTrue="1" operator="between">
      <formula>0.894999999999999</formula>
      <formula>0.845</formula>
    </cfRule>
  </conditionalFormatting>
  <conditionalFormatting sqref="AC21">
    <cfRule type="cellIs" dxfId="145" priority="70" stopIfTrue="1" operator="between">
      <formula>0.84499999999999</formula>
      <formula>0.795</formula>
    </cfRule>
    <cfRule type="cellIs" dxfId="144" priority="72" stopIfTrue="1" operator="between">
      <formula>1</formula>
      <formula>0.895</formula>
    </cfRule>
  </conditionalFormatting>
  <conditionalFormatting sqref="AC21">
    <cfRule type="cellIs" dxfId="143" priority="69" stopIfTrue="1" operator="between">
      <formula>0.794999999999999</formula>
      <formula>0.0001</formula>
    </cfRule>
    <cfRule type="cellIs" dxfId="142" priority="71" stopIfTrue="1" operator="between">
      <formula>0.894999999999999</formula>
      <formula>0.845</formula>
    </cfRule>
  </conditionalFormatting>
  <conditionalFormatting sqref="AC22:AC27">
    <cfRule type="cellIs" dxfId="141" priority="66" stopIfTrue="1" operator="between">
      <formula>0.84499999999999</formula>
      <formula>0.795</formula>
    </cfRule>
    <cfRule type="cellIs" dxfId="140" priority="68" stopIfTrue="1" operator="between">
      <formula>1</formula>
      <formula>0.895</formula>
    </cfRule>
  </conditionalFormatting>
  <conditionalFormatting sqref="AC22:AC27">
    <cfRule type="cellIs" dxfId="139" priority="65" stopIfTrue="1" operator="between">
      <formula>0.794999999999999</formula>
      <formula>0.0001</formula>
    </cfRule>
    <cfRule type="cellIs" dxfId="138" priority="67" stopIfTrue="1" operator="between">
      <formula>0.894999999999999</formula>
      <formula>0.845</formula>
    </cfRule>
  </conditionalFormatting>
  <conditionalFormatting sqref="J32:K32">
    <cfRule type="cellIs" dxfId="137" priority="62" stopIfTrue="1" operator="between">
      <formula>0.84499999999999</formula>
      <formula>0.795</formula>
    </cfRule>
    <cfRule type="cellIs" dxfId="136" priority="64" stopIfTrue="1" operator="between">
      <formula>1</formula>
      <formula>0.895</formula>
    </cfRule>
  </conditionalFormatting>
  <conditionalFormatting sqref="J32:K32">
    <cfRule type="cellIs" dxfId="135" priority="61" stopIfTrue="1" operator="between">
      <formula>0.794999999999999</formula>
      <formula>0.0001</formula>
    </cfRule>
    <cfRule type="cellIs" dxfId="134" priority="63" stopIfTrue="1" operator="between">
      <formula>0.894999999999999</formula>
      <formula>0.845</formula>
    </cfRule>
  </conditionalFormatting>
  <conditionalFormatting sqref="J33:K38">
    <cfRule type="cellIs" dxfId="133" priority="58" stopIfTrue="1" operator="between">
      <formula>0.84499999999999</formula>
      <formula>0.795</formula>
    </cfRule>
    <cfRule type="cellIs" dxfId="132" priority="60" stopIfTrue="1" operator="between">
      <formula>1</formula>
      <formula>0.895</formula>
    </cfRule>
  </conditionalFormatting>
  <conditionalFormatting sqref="J33:K38">
    <cfRule type="cellIs" dxfId="131" priority="57" stopIfTrue="1" operator="between">
      <formula>0.794999999999999</formula>
      <formula>0.0001</formula>
    </cfRule>
    <cfRule type="cellIs" dxfId="130" priority="59" stopIfTrue="1" operator="between">
      <formula>0.894999999999999</formula>
      <formula>0.845</formula>
    </cfRule>
  </conditionalFormatting>
  <conditionalFormatting sqref="Q32">
    <cfRule type="cellIs" dxfId="129" priority="54" stopIfTrue="1" operator="between">
      <formula>0.84499999999999</formula>
      <formula>0.795</formula>
    </cfRule>
    <cfRule type="cellIs" dxfId="128" priority="56" stopIfTrue="1" operator="between">
      <formula>1</formula>
      <formula>0.895</formula>
    </cfRule>
  </conditionalFormatting>
  <conditionalFormatting sqref="Q32">
    <cfRule type="cellIs" dxfId="127" priority="53" stopIfTrue="1" operator="between">
      <formula>0.794999999999999</formula>
      <formula>0.0001</formula>
    </cfRule>
    <cfRule type="cellIs" dxfId="126" priority="55" stopIfTrue="1" operator="between">
      <formula>0.894999999999999</formula>
      <formula>0.845</formula>
    </cfRule>
  </conditionalFormatting>
  <conditionalFormatting sqref="Q33:Q38">
    <cfRule type="cellIs" dxfId="125" priority="50" stopIfTrue="1" operator="between">
      <formula>0.84499999999999</formula>
      <formula>0.795</formula>
    </cfRule>
    <cfRule type="cellIs" dxfId="124" priority="52" stopIfTrue="1" operator="between">
      <formula>1</formula>
      <formula>0.895</formula>
    </cfRule>
  </conditionalFormatting>
  <conditionalFormatting sqref="Q33:Q38">
    <cfRule type="cellIs" dxfId="123" priority="49" stopIfTrue="1" operator="between">
      <formula>0.794999999999999</formula>
      <formula>0.0001</formula>
    </cfRule>
    <cfRule type="cellIs" dxfId="122" priority="51" stopIfTrue="1" operator="between">
      <formula>0.894999999999999</formula>
      <formula>0.845</formula>
    </cfRule>
  </conditionalFormatting>
  <conditionalFormatting sqref="W32">
    <cfRule type="cellIs" dxfId="121" priority="46" stopIfTrue="1" operator="between">
      <formula>0.84499999999999</formula>
      <formula>0.795</formula>
    </cfRule>
    <cfRule type="cellIs" dxfId="120" priority="48" stopIfTrue="1" operator="between">
      <formula>1</formula>
      <formula>0.895</formula>
    </cfRule>
  </conditionalFormatting>
  <conditionalFormatting sqref="W32">
    <cfRule type="cellIs" dxfId="119" priority="45" stopIfTrue="1" operator="between">
      <formula>0.794999999999999</formula>
      <formula>0.0001</formula>
    </cfRule>
    <cfRule type="cellIs" dxfId="118" priority="47" stopIfTrue="1" operator="between">
      <formula>0.894999999999999</formula>
      <formula>0.845</formula>
    </cfRule>
  </conditionalFormatting>
  <conditionalFormatting sqref="W33:W38">
    <cfRule type="cellIs" dxfId="117" priority="42" stopIfTrue="1" operator="between">
      <formula>0.84499999999999</formula>
      <formula>0.795</formula>
    </cfRule>
    <cfRule type="cellIs" dxfId="116" priority="44" stopIfTrue="1" operator="between">
      <formula>1</formula>
      <formula>0.895</formula>
    </cfRule>
  </conditionalFormatting>
  <conditionalFormatting sqref="W33:W38">
    <cfRule type="cellIs" dxfId="115" priority="41" stopIfTrue="1" operator="between">
      <formula>0.794999999999999</formula>
      <formula>0.0001</formula>
    </cfRule>
    <cfRule type="cellIs" dxfId="114" priority="43" stopIfTrue="1" operator="between">
      <formula>0.894999999999999</formula>
      <formula>0.845</formula>
    </cfRule>
  </conditionalFormatting>
  <conditionalFormatting sqref="AC32">
    <cfRule type="cellIs" dxfId="113" priority="38" stopIfTrue="1" operator="between">
      <formula>0.84499999999999</formula>
      <formula>0.795</formula>
    </cfRule>
    <cfRule type="cellIs" dxfId="112" priority="40" stopIfTrue="1" operator="between">
      <formula>1</formula>
      <formula>0.895</formula>
    </cfRule>
  </conditionalFormatting>
  <conditionalFormatting sqref="AC32">
    <cfRule type="cellIs" dxfId="111" priority="37" stopIfTrue="1" operator="between">
      <formula>0.794999999999999</formula>
      <formula>0.0001</formula>
    </cfRule>
    <cfRule type="cellIs" dxfId="110" priority="39" stopIfTrue="1" operator="between">
      <formula>0.894999999999999</formula>
      <formula>0.845</formula>
    </cfRule>
  </conditionalFormatting>
  <conditionalFormatting sqref="AC33:AC38">
    <cfRule type="cellIs" dxfId="109" priority="34" stopIfTrue="1" operator="between">
      <formula>0.84499999999999</formula>
      <formula>0.795</formula>
    </cfRule>
    <cfRule type="cellIs" dxfId="108" priority="36" stopIfTrue="1" operator="between">
      <formula>1</formula>
      <formula>0.895</formula>
    </cfRule>
  </conditionalFormatting>
  <conditionalFormatting sqref="AC33:AC38">
    <cfRule type="cellIs" dxfId="107" priority="33" stopIfTrue="1" operator="between">
      <formula>0.794999999999999</formula>
      <formula>0.0001</formula>
    </cfRule>
    <cfRule type="cellIs" dxfId="106" priority="35" stopIfTrue="1" operator="between">
      <formula>0.894999999999999</formula>
      <formula>0.845</formula>
    </cfRule>
  </conditionalFormatting>
  <conditionalFormatting sqref="J43:K43">
    <cfRule type="cellIs" dxfId="105" priority="30" stopIfTrue="1" operator="between">
      <formula>0.84499999999999</formula>
      <formula>0.795</formula>
    </cfRule>
    <cfRule type="cellIs" dxfId="104" priority="32" stopIfTrue="1" operator="between">
      <formula>1</formula>
      <formula>0.895</formula>
    </cfRule>
  </conditionalFormatting>
  <conditionalFormatting sqref="J43:K43">
    <cfRule type="cellIs" dxfId="103" priority="29" stopIfTrue="1" operator="between">
      <formula>0.794999999999999</formula>
      <formula>0.0001</formula>
    </cfRule>
    <cfRule type="cellIs" dxfId="102" priority="31" stopIfTrue="1" operator="between">
      <formula>0.894999999999999</formula>
      <formula>0.845</formula>
    </cfRule>
  </conditionalFormatting>
  <conditionalFormatting sqref="J44:K49">
    <cfRule type="cellIs" dxfId="101" priority="26" stopIfTrue="1" operator="between">
      <formula>0.84499999999999</formula>
      <formula>0.795</formula>
    </cfRule>
    <cfRule type="cellIs" dxfId="100" priority="28" stopIfTrue="1" operator="between">
      <formula>1</formula>
      <formula>0.895</formula>
    </cfRule>
  </conditionalFormatting>
  <conditionalFormatting sqref="J44:K49">
    <cfRule type="cellIs" dxfId="99" priority="25" stopIfTrue="1" operator="between">
      <formula>0.794999999999999</formula>
      <formula>0.0001</formula>
    </cfRule>
    <cfRule type="cellIs" dxfId="98" priority="27" stopIfTrue="1" operator="between">
      <formula>0.894999999999999</formula>
      <formula>0.845</formula>
    </cfRule>
  </conditionalFormatting>
  <conditionalFormatting sqref="Q43">
    <cfRule type="cellIs" dxfId="97" priority="22" stopIfTrue="1" operator="between">
      <formula>0.84499999999999</formula>
      <formula>0.795</formula>
    </cfRule>
    <cfRule type="cellIs" dxfId="96" priority="24" stopIfTrue="1" operator="between">
      <formula>1</formula>
      <formula>0.895</formula>
    </cfRule>
  </conditionalFormatting>
  <conditionalFormatting sqref="Q43">
    <cfRule type="cellIs" dxfId="95" priority="21" stopIfTrue="1" operator="between">
      <formula>0.794999999999999</formula>
      <formula>0.0001</formula>
    </cfRule>
    <cfRule type="cellIs" dxfId="94" priority="23" stopIfTrue="1" operator="between">
      <formula>0.894999999999999</formula>
      <formula>0.845</formula>
    </cfRule>
  </conditionalFormatting>
  <conditionalFormatting sqref="Q44:Q49">
    <cfRule type="cellIs" dxfId="93" priority="18" stopIfTrue="1" operator="between">
      <formula>0.84499999999999</formula>
      <formula>0.795</formula>
    </cfRule>
    <cfRule type="cellIs" dxfId="92" priority="20" stopIfTrue="1" operator="between">
      <formula>1</formula>
      <formula>0.895</formula>
    </cfRule>
  </conditionalFormatting>
  <conditionalFormatting sqref="Q44:Q49">
    <cfRule type="cellIs" dxfId="91" priority="17" stopIfTrue="1" operator="between">
      <formula>0.794999999999999</formula>
      <formula>0.0001</formula>
    </cfRule>
    <cfRule type="cellIs" dxfId="90" priority="19" stopIfTrue="1" operator="between">
      <formula>0.894999999999999</formula>
      <formula>0.845</formula>
    </cfRule>
  </conditionalFormatting>
  <conditionalFormatting sqref="W43">
    <cfRule type="cellIs" dxfId="89" priority="14" stopIfTrue="1" operator="between">
      <formula>0.84499999999999</formula>
      <formula>0.795</formula>
    </cfRule>
    <cfRule type="cellIs" dxfId="88" priority="16" stopIfTrue="1" operator="between">
      <formula>1</formula>
      <formula>0.895</formula>
    </cfRule>
  </conditionalFormatting>
  <conditionalFormatting sqref="W43">
    <cfRule type="cellIs" dxfId="87" priority="13" stopIfTrue="1" operator="between">
      <formula>0.794999999999999</formula>
      <formula>0.0001</formula>
    </cfRule>
    <cfRule type="cellIs" dxfId="86" priority="15" stopIfTrue="1" operator="between">
      <formula>0.894999999999999</formula>
      <formula>0.845</formula>
    </cfRule>
  </conditionalFormatting>
  <conditionalFormatting sqref="W44:W49">
    <cfRule type="cellIs" dxfId="85" priority="10" stopIfTrue="1" operator="between">
      <formula>0.84499999999999</formula>
      <formula>0.795</formula>
    </cfRule>
    <cfRule type="cellIs" dxfId="84" priority="12" stopIfTrue="1" operator="between">
      <formula>1</formula>
      <formula>0.895</formula>
    </cfRule>
  </conditionalFormatting>
  <conditionalFormatting sqref="W44:W49">
    <cfRule type="cellIs" dxfId="83" priority="9" stopIfTrue="1" operator="between">
      <formula>0.794999999999999</formula>
      <formula>0.0001</formula>
    </cfRule>
    <cfRule type="cellIs" dxfId="82" priority="11" stopIfTrue="1" operator="between">
      <formula>0.894999999999999</formula>
      <formula>0.845</formula>
    </cfRule>
  </conditionalFormatting>
  <conditionalFormatting sqref="AC43">
    <cfRule type="cellIs" dxfId="81" priority="6" stopIfTrue="1" operator="between">
      <formula>0.84499999999999</formula>
      <formula>0.795</formula>
    </cfRule>
    <cfRule type="cellIs" dxfId="80" priority="8" stopIfTrue="1" operator="between">
      <formula>1</formula>
      <formula>0.895</formula>
    </cfRule>
  </conditionalFormatting>
  <conditionalFormatting sqref="AC43">
    <cfRule type="cellIs" dxfId="79" priority="5" stopIfTrue="1" operator="between">
      <formula>0.794999999999999</formula>
      <formula>0.0001</formula>
    </cfRule>
    <cfRule type="cellIs" dxfId="78" priority="7" stopIfTrue="1" operator="between">
      <formula>0.894999999999999</formula>
      <formula>0.845</formula>
    </cfRule>
  </conditionalFormatting>
  <conditionalFormatting sqref="AC44:AC49">
    <cfRule type="cellIs" dxfId="77" priority="2" stopIfTrue="1" operator="between">
      <formula>0.84499999999999</formula>
      <formula>0.795</formula>
    </cfRule>
    <cfRule type="cellIs" dxfId="76" priority="4" stopIfTrue="1" operator="between">
      <formula>1</formula>
      <formula>0.895</formula>
    </cfRule>
  </conditionalFormatting>
  <conditionalFormatting sqref="AC44:AC49">
    <cfRule type="cellIs" dxfId="75" priority="1" stopIfTrue="1" operator="between">
      <formula>0.794999999999999</formula>
      <formula>0.0001</formula>
    </cfRule>
    <cfRule type="cellIs" dxfId="74" priority="3" stopIfTrue="1" operator="between">
      <formula>0.894999999999999</formula>
      <formula>0.845</formula>
    </cfRule>
  </conditionalFormatting>
  <printOptions horizontalCentered="1"/>
  <pageMargins left="0.25" right="0.25" top="0.5" bottom="0.75" header="0" footer="0.25"/>
  <pageSetup scale="76" orientation="portrait" r:id="rId1"/>
  <headerFooter>
    <oddFooter>&amp;L&amp;9© 2015 Horizon Management Services LLC
Date and Time Printed:  &amp;D    &amp;T
Filename:  &amp;Z&amp;F
Worksheet:  &amp;A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00080"/>
  </sheetPr>
  <dimension ref="A1:AA114"/>
  <sheetViews>
    <sheetView showGridLines="0" showRowColHeaders="0" zoomScaleNormal="100" zoomScaleSheetLayoutView="100" workbookViewId="0">
      <pane xSplit="8" ySplit="5" topLeftCell="I6" activePane="bottomRight" state="frozen"/>
      <selection pane="topRight" activeCell="G1" sqref="G1"/>
      <selection pane="bottomLeft" activeCell="A6" sqref="A6"/>
      <selection pane="bottomRight" activeCell="X4" sqref="X4"/>
    </sheetView>
  </sheetViews>
  <sheetFormatPr defaultColWidth="0" defaultRowHeight="15" zeroHeight="1" x14ac:dyDescent="0.25"/>
  <cols>
    <col min="1" max="1" width="5.5703125" style="422" customWidth="1"/>
    <col min="2" max="2" width="0.42578125" style="287" customWidth="1"/>
    <col min="3" max="3" width="13.28515625" style="422" customWidth="1"/>
    <col min="4" max="4" width="6.5703125" style="422" customWidth="1"/>
    <col min="5" max="5" width="5.140625" style="422" customWidth="1"/>
    <col min="6" max="6" width="4.28515625" style="422" customWidth="1"/>
    <col min="7" max="7" width="1.5703125" style="422" customWidth="1"/>
    <col min="8" max="8" width="3.42578125" style="422" customWidth="1"/>
    <col min="9" max="9" width="1.5703125" style="422" customWidth="1"/>
    <col min="10" max="10" width="10.5703125" style="422" customWidth="1"/>
    <col min="11" max="11" width="1.5703125" style="422" customWidth="1"/>
    <col min="12" max="12" width="5.5703125" style="422" customWidth="1"/>
    <col min="13" max="13" width="2.5703125" style="422" customWidth="1"/>
    <col min="14" max="14" width="5.5703125" style="422" customWidth="1"/>
    <col min="15" max="15" width="1.5703125" style="422" customWidth="1"/>
    <col min="16" max="16" width="11.5703125" style="422" customWidth="1"/>
    <col min="17" max="17" width="8.28515625" style="422" customWidth="1"/>
    <col min="18" max="18" width="3.5703125" style="422" customWidth="1"/>
    <col min="19" max="19" width="2.140625" style="422" customWidth="1"/>
    <col min="20" max="20" width="5.5703125" style="422" customWidth="1"/>
    <col min="21" max="21" width="2.5703125" style="422" customWidth="1"/>
    <col min="22" max="22" width="5.5703125" style="422" customWidth="1"/>
    <col min="23" max="24" width="12.5703125" style="422" customWidth="1"/>
    <col min="25" max="25" width="0.5703125" style="422" customWidth="1"/>
    <col min="26" max="26" width="12.5703125" style="422" hidden="1" customWidth="1"/>
    <col min="27" max="27" width="2" style="422" hidden="1" customWidth="1"/>
    <col min="28" max="16384" width="9.140625" style="422" hidden="1"/>
  </cols>
  <sheetData>
    <row r="1" spans="1:27" s="59" customFormat="1" ht="18.75" x14ac:dyDescent="0.25">
      <c r="A1" s="422"/>
      <c r="B1" s="287"/>
      <c r="C1" s="560" t="str">
        <f>IF(OR(LEFT(CompiliationCompany,1)="(",CompiliationCompany=""),"Go to ENTER RESULTS tab &amp; Enter Company NAME at top of screen",CompiliationCompany)</f>
        <v>Go to ENTER RESULTS tab &amp; Enter Company NAME at top of screen</v>
      </c>
      <c r="D1" s="558"/>
      <c r="E1" s="558"/>
      <c r="F1" s="558"/>
      <c r="G1" s="558"/>
      <c r="H1" s="558"/>
      <c r="I1" s="558"/>
      <c r="J1" s="558"/>
      <c r="K1" s="558"/>
      <c r="L1" s="558"/>
      <c r="M1" s="558"/>
      <c r="N1" s="558"/>
      <c r="O1" s="558"/>
      <c r="P1" s="558"/>
      <c r="Q1" s="558"/>
      <c r="R1" s="558"/>
      <c r="S1" s="558"/>
      <c r="T1" s="558"/>
      <c r="U1" s="558"/>
      <c r="V1" s="656" t="s">
        <v>330</v>
      </c>
      <c r="W1" s="657"/>
      <c r="X1" s="657"/>
      <c r="Z1" s="256"/>
      <c r="AA1" s="191"/>
    </row>
    <row r="2" spans="1:27" s="59" customFormat="1" ht="18.75" x14ac:dyDescent="0.25">
      <c r="A2" s="422"/>
      <c r="B2" s="287"/>
      <c r="C2" s="557" t="str">
        <f>IF(OR(LEFT(CompiliationLocation,1)="(",CompiliationLocation=""),"Go to ENTER RESULTS tab &amp; Enter Company LOCATION at top of screen",CompiliationLocation)</f>
        <v>Go to ENTER RESULTS tab &amp; Enter Company LOCATION at top of screen</v>
      </c>
      <c r="D2" s="558"/>
      <c r="E2" s="558"/>
      <c r="F2" s="558"/>
      <c r="G2" s="558"/>
      <c r="H2" s="558"/>
      <c r="I2" s="558"/>
      <c r="J2" s="558"/>
      <c r="K2" s="558"/>
      <c r="L2" s="558"/>
      <c r="M2" s="558"/>
      <c r="N2" s="558"/>
      <c r="O2" s="558"/>
      <c r="P2" s="558"/>
      <c r="Q2" s="558"/>
      <c r="R2" s="558"/>
      <c r="S2" s="558"/>
      <c r="T2" s="558"/>
      <c r="U2" s="558"/>
      <c r="V2" s="481"/>
      <c r="W2" s="481"/>
      <c r="X2" s="482" t="str">
        <f>Version</f>
        <v>Version 7.0</v>
      </c>
      <c r="Y2" s="60"/>
    </row>
    <row r="3" spans="1:27" s="59" customFormat="1" ht="18.75" x14ac:dyDescent="0.25">
      <c r="A3" s="422"/>
      <c r="B3" s="287"/>
      <c r="C3" s="560" t="str">
        <f>IF(OR(LEFT(CompiliationDate,1)="(",CompiliationDate=""),"Go to ENTER RESULTS tab &amp; Enter DATE of Review at top of screen",CONCATENATE("REVIEWS PERFORMED AS OF ",MONTH(CompiliationDate),"/",DAY(CompiliationDate),"/",YEAR(CompiliationDate)))</f>
        <v>Go to ENTER RESULTS tab &amp; Enter DATE of Review at top of screen</v>
      </c>
      <c r="D3" s="558"/>
      <c r="E3" s="558"/>
      <c r="F3" s="558"/>
      <c r="G3" s="558"/>
      <c r="H3" s="558"/>
      <c r="I3" s="558"/>
      <c r="J3" s="558"/>
      <c r="K3" s="558"/>
      <c r="L3" s="558"/>
      <c r="M3" s="558"/>
      <c r="N3" s="558"/>
      <c r="O3" s="558"/>
      <c r="P3" s="558"/>
      <c r="Q3" s="558"/>
      <c r="R3" s="558"/>
      <c r="S3" s="558"/>
      <c r="T3" s="558"/>
      <c r="U3" s="558"/>
      <c r="V3" s="481"/>
      <c r="W3" s="481"/>
      <c r="X3" s="481"/>
    </row>
    <row r="4" spans="1:27" s="59" customFormat="1" ht="18.75" x14ac:dyDescent="0.25">
      <c r="A4" s="422"/>
      <c r="B4" s="287"/>
      <c r="C4" s="798" t="str">
        <f>IF(AND(TotalAnswersNeeded&lt;&gt;0,TotalAnswersNeeded2&lt;&gt;0,TotalAnswersNeeded3&lt;&gt;0),"YOU HAVE UNANSWERED QUESTIONS WHICH WILL AFFECT THE CALCULATED RESULTS - Go to  Enter Results tab.","")</f>
        <v/>
      </c>
      <c r="D4" s="799"/>
      <c r="E4" s="799"/>
      <c r="F4" s="799"/>
      <c r="G4" s="799"/>
      <c r="H4" s="799"/>
      <c r="I4" s="799"/>
      <c r="J4" s="799"/>
      <c r="K4" s="799"/>
      <c r="L4" s="799"/>
      <c r="M4" s="799"/>
      <c r="N4" s="799"/>
      <c r="O4" s="799"/>
      <c r="P4" s="799"/>
      <c r="Q4" s="799"/>
      <c r="R4" s="799"/>
      <c r="S4" s="799"/>
      <c r="T4" s="799"/>
      <c r="U4" s="799"/>
      <c r="V4" s="481"/>
      <c r="W4" s="481"/>
      <c r="X4" s="483"/>
    </row>
    <row r="5" spans="1:27" s="59" customFormat="1" ht="31.5" customHeight="1" thickBot="1" x14ac:dyDescent="0.3">
      <c r="A5" s="422"/>
      <c r="B5" s="287"/>
      <c r="C5" s="85" t="s">
        <v>57</v>
      </c>
      <c r="D5" s="86"/>
      <c r="E5" s="86"/>
      <c r="F5" s="86"/>
      <c r="G5" s="86"/>
      <c r="H5" s="87"/>
      <c r="I5" s="779" t="s">
        <v>3</v>
      </c>
      <c r="J5" s="780"/>
      <c r="K5" s="780"/>
      <c r="L5" s="772" t="s">
        <v>4</v>
      </c>
      <c r="M5" s="774"/>
      <c r="N5" s="773"/>
      <c r="O5" s="772" t="s">
        <v>5</v>
      </c>
      <c r="P5" s="773"/>
      <c r="Q5" s="789" t="s">
        <v>248</v>
      </c>
      <c r="R5" s="780"/>
      <c r="S5" s="790"/>
      <c r="T5" s="772" t="s">
        <v>15</v>
      </c>
      <c r="U5" s="774"/>
      <c r="V5" s="773"/>
      <c r="W5" s="88" t="s">
        <v>6</v>
      </c>
      <c r="X5" s="275" t="s">
        <v>201</v>
      </c>
      <c r="Y5" s="84"/>
    </row>
    <row r="6" spans="1:27" s="74" customFormat="1" ht="19.5" customHeight="1" thickTop="1" x14ac:dyDescent="0.25">
      <c r="A6" s="423"/>
      <c r="B6" s="98"/>
      <c r="C6" s="715" t="s">
        <v>66</v>
      </c>
      <c r="D6" s="716"/>
      <c r="E6" s="716"/>
      <c r="F6" s="716"/>
      <c r="G6" s="716"/>
      <c r="H6" s="716"/>
      <c r="I6" s="781">
        <f>SUM(I7:K10)/QuestionsManagement</f>
        <v>0</v>
      </c>
      <c r="J6" s="782"/>
      <c r="K6" s="783"/>
      <c r="L6" s="781">
        <f>SUM(L7:N10)/QuestionsFinance</f>
        <v>0</v>
      </c>
      <c r="M6" s="782"/>
      <c r="N6" s="783"/>
      <c r="O6" s="791">
        <f>SUM(O7:P10)/QuestionsSales</f>
        <v>0</v>
      </c>
      <c r="P6" s="783"/>
      <c r="Q6" s="781">
        <f>SUM(Q7:S10)/QuestionsOperations</f>
        <v>0</v>
      </c>
      <c r="R6" s="782"/>
      <c r="S6" s="783"/>
      <c r="T6" s="781">
        <f>SUM(T7:V10)/QuestionsWarehouse</f>
        <v>0</v>
      </c>
      <c r="U6" s="782"/>
      <c r="V6" s="783"/>
      <c r="W6" s="281">
        <f>SUM(W7:W10)/QuestionsRiskManagement</f>
        <v>0</v>
      </c>
      <c r="X6" s="280"/>
      <c r="Y6" s="84"/>
    </row>
    <row r="7" spans="1:27" s="59" customFormat="1" ht="15" customHeight="1" x14ac:dyDescent="0.25">
      <c r="A7" s="422"/>
      <c r="B7" s="287"/>
      <c r="C7" s="707" t="s">
        <v>24</v>
      </c>
      <c r="D7" s="708"/>
      <c r="E7" s="708"/>
      <c r="F7" s="708"/>
      <c r="G7" s="708"/>
      <c r="H7" s="709"/>
      <c r="I7" s="786">
        <f>IF(NeededMgmt=0,I23+I29+I35+I41+I47+I53+I60+I66+I72+I78+I84+I90,"")</f>
        <v>0</v>
      </c>
      <c r="J7" s="787"/>
      <c r="K7" s="784"/>
      <c r="L7" s="775">
        <f>IF(NeededFin=0,L23+L29+L35+L41+L47+L53+L60+L66+L72+L78+L84+L90,"")</f>
        <v>0</v>
      </c>
      <c r="M7" s="784"/>
      <c r="N7" s="776"/>
      <c r="O7" s="775">
        <f>IF(NeededSales=0,O23+O29+O35+O41+O47+O53+O60+O66+O72+O78+O84+O90,"")</f>
        <v>0</v>
      </c>
      <c r="P7" s="776"/>
      <c r="Q7" s="775">
        <f>IF(NeededOps=0,Q23+Q29+Q35+Q41+Q47+Q53+Q60+Q66+Q72+Q78+Q84+Q90,"")</f>
        <v>0</v>
      </c>
      <c r="R7" s="784"/>
      <c r="S7" s="776"/>
      <c r="T7" s="775">
        <f>IF(NeededWhse=0,T23+T29+T35+T41+T47+T53+T60+T66+T72+T78+T84+T90,"")</f>
        <v>0</v>
      </c>
      <c r="U7" s="784"/>
      <c r="V7" s="776"/>
      <c r="W7" s="214">
        <f>IF(NeededRiskMgmt=0,W23+W29+W35+W41+W47+W53+W60+W66+W72+W78+W84+W90,"")</f>
        <v>0</v>
      </c>
      <c r="X7" s="215">
        <f>SUM(I7:W7)</f>
        <v>0</v>
      </c>
      <c r="Y7" s="84"/>
    </row>
    <row r="8" spans="1:27" s="59" customFormat="1" x14ac:dyDescent="0.25">
      <c r="A8" s="422"/>
      <c r="B8" s="287"/>
      <c r="C8" s="707" t="s">
        <v>23</v>
      </c>
      <c r="D8" s="708"/>
      <c r="E8" s="708"/>
      <c r="F8" s="708"/>
      <c r="G8" s="708"/>
      <c r="H8" s="709"/>
      <c r="I8" s="742">
        <f>IF(NeededMgmt=0,I24+I30+I36+I42+I48+I54+I61+I67+I73+I79+I85+I91,"")</f>
        <v>0</v>
      </c>
      <c r="J8" s="743"/>
      <c r="K8" s="744"/>
      <c r="L8" s="745">
        <f>IF(NeededFin=0,L24+L30+L36+L42+L48+L54+L61+L67+L73+L79+L85+L91,"")</f>
        <v>0</v>
      </c>
      <c r="M8" s="785"/>
      <c r="N8" s="777"/>
      <c r="O8" s="745">
        <f>IF(NeededSales=0,O24+O30+O36+O42+O48+O54+O61+O67+O73+O79+O85+O91,"")</f>
        <v>0</v>
      </c>
      <c r="P8" s="777"/>
      <c r="Q8" s="745">
        <f>IF(NeededOps=0,Q24+Q30+Q36+Q42+Q48+Q54+Q61+Q67+Q73+Q79+Q85+Q91,"")</f>
        <v>0</v>
      </c>
      <c r="R8" s="744"/>
      <c r="S8" s="746"/>
      <c r="T8" s="745">
        <f>IF(NeededWhse=0,T24+T30+T36+T42+T48+T54+T61+T67+T73+T79+T85+T91,"")</f>
        <v>0</v>
      </c>
      <c r="U8" s="785"/>
      <c r="V8" s="777"/>
      <c r="W8" s="212">
        <f>IF(NeededRiskMgmt=0,W24+W30+W36+W42+W48+W54+W61+W67+W73+W79+W85+W91,"")</f>
        <v>0</v>
      </c>
      <c r="X8" s="213">
        <f>SUM(I8:W8)</f>
        <v>0</v>
      </c>
      <c r="Y8" s="84"/>
    </row>
    <row r="9" spans="1:27" s="59" customFormat="1" x14ac:dyDescent="0.25">
      <c r="A9" s="422"/>
      <c r="B9" s="287"/>
      <c r="C9" s="707" t="s">
        <v>22</v>
      </c>
      <c r="D9" s="708"/>
      <c r="E9" s="708"/>
      <c r="F9" s="708"/>
      <c r="G9" s="708"/>
      <c r="H9" s="709"/>
      <c r="I9" s="747">
        <f>IF(NeededMgmt=0,I25+I31+I37+I43+I49+I55+I62+I68+I74+I80+I86+I92,"")</f>
        <v>0</v>
      </c>
      <c r="J9" s="748"/>
      <c r="K9" s="749"/>
      <c r="L9" s="750">
        <f>IF(NeededFin=0,L25+L31+L37+L43+L49+L55+L62+L68+L74+L80+L86+L92,"")</f>
        <v>0</v>
      </c>
      <c r="M9" s="788"/>
      <c r="N9" s="778"/>
      <c r="O9" s="750">
        <f>IF(NeededSales=0,O25+O31+O37+O43+O49+O55+O62+O68+O74+O80+O86+O92,"")</f>
        <v>0</v>
      </c>
      <c r="P9" s="778"/>
      <c r="Q9" s="750">
        <f>IF(NeededOps=0,Q25+Q31+Q37+Q43+Q49+Q55+Q62+Q68+Q74+Q80+Q86+Q92,"")</f>
        <v>0</v>
      </c>
      <c r="R9" s="749"/>
      <c r="S9" s="751"/>
      <c r="T9" s="750">
        <f>IF(NeededWhse=0,T25+T31+T37+T43+T49+T55+T62+T68+T74+T80+T86+T92,"")</f>
        <v>0</v>
      </c>
      <c r="U9" s="788"/>
      <c r="V9" s="778"/>
      <c r="W9" s="210">
        <f>IF(NeededRiskMgmt=0,W25+W31+W37+W43+W49+W55+W62+W68+W74+W80+W86+W92,"")</f>
        <v>0</v>
      </c>
      <c r="X9" s="211">
        <f>SUM(I9:W9)</f>
        <v>0</v>
      </c>
      <c r="Y9" s="84"/>
    </row>
    <row r="10" spans="1:27" s="59" customFormat="1" x14ac:dyDescent="0.25">
      <c r="A10" s="422"/>
      <c r="B10" s="287"/>
      <c r="C10" s="721" t="s">
        <v>49</v>
      </c>
      <c r="D10" s="722"/>
      <c r="E10" s="722"/>
      <c r="F10" s="722"/>
      <c r="G10" s="722"/>
      <c r="H10" s="723"/>
      <c r="I10" s="724">
        <f>IF(NeededMgmt=0,I26+I32+I38+I44+I50+I56+I63+I69+I75+I81+I87+I93,"")</f>
        <v>0</v>
      </c>
      <c r="J10" s="725"/>
      <c r="K10" s="726"/>
      <c r="L10" s="717">
        <f>IF(NeededFin=0,L26+L32+L38+L44+L50+L56+L63+L69+L75+L81+L87+L93,"")</f>
        <v>0</v>
      </c>
      <c r="M10" s="763"/>
      <c r="N10" s="718"/>
      <c r="O10" s="717">
        <f>IF(NeededSales=0,O26+O32+O38+O44+O50+O56+O63+O69+O75+O81+O87+O93,"")</f>
        <v>0</v>
      </c>
      <c r="P10" s="718"/>
      <c r="Q10" s="717">
        <f>IF(NeededOps=0,Q26+Q32+Q38+Q44+Q50+Q56+Q63+Q69+Q75+Q81+Q87+Q93,"")</f>
        <v>0</v>
      </c>
      <c r="R10" s="726"/>
      <c r="S10" s="729"/>
      <c r="T10" s="717">
        <f>IF(NeededWhse=0,T26+T32+T38+T44+T50+T56+T63+T69+T75+T81+T87+T93,"")</f>
        <v>0</v>
      </c>
      <c r="U10" s="763"/>
      <c r="V10" s="718"/>
      <c r="W10" s="208">
        <f>IF(NeededRiskMgmt=0,W26+W32+W38+W44+W50+W56+W63+W69+W75+W81+W87+W93,"")</f>
        <v>0</v>
      </c>
      <c r="X10" s="209">
        <f>SUM(I10:W10)</f>
        <v>0</v>
      </c>
      <c r="Y10" s="84"/>
    </row>
    <row r="11" spans="1:27" s="59" customFormat="1" ht="15" hidden="1" customHeight="1" x14ac:dyDescent="0.25">
      <c r="A11" s="422"/>
      <c r="B11" s="287"/>
      <c r="C11" s="147" t="s">
        <v>50</v>
      </c>
      <c r="D11" s="148"/>
      <c r="E11" s="148"/>
      <c r="F11" s="149"/>
      <c r="G11" s="149"/>
      <c r="H11" s="150"/>
      <c r="I11" s="768">
        <f>IF(NeededMgmt=0,(I7*1)+(I8*2)+(I9*3)+(I10*4),"")</f>
        <v>0</v>
      </c>
      <c r="J11" s="741"/>
      <c r="K11" s="741"/>
      <c r="L11" s="741">
        <f>IF(NeededFin=0,(L7*1)+(L8*2)+(L9*3)+(L10*4),"")</f>
        <v>0</v>
      </c>
      <c r="M11" s="741"/>
      <c r="N11" s="741"/>
      <c r="O11" s="741">
        <f>IF(NeededSales=0,(O7*1)+(O8*2)+(O9*3)+(O10*4),"")</f>
        <v>0</v>
      </c>
      <c r="P11" s="752"/>
      <c r="Q11" s="741">
        <f>IF(NeededOps=0,(Q7*1)+(Q8*2)+(Q9*3)+(Q10*4),"")</f>
        <v>0</v>
      </c>
      <c r="R11" s="741"/>
      <c r="S11" s="741"/>
      <c r="T11" s="741">
        <f>IF(NeededWhse=0,(T7*1)+(T8*2)+(T9*3)+(T10*4),"")</f>
        <v>0</v>
      </c>
      <c r="U11" s="741"/>
      <c r="V11" s="741"/>
      <c r="W11" s="202">
        <f>IF(NeededRiskMgmt=0,(W7*1)+(W8*2)+(W9*3)+(W10*4),"")</f>
        <v>0</v>
      </c>
      <c r="X11" s="203">
        <f>SUM(I11:W11)</f>
        <v>0</v>
      </c>
      <c r="Y11" s="84"/>
    </row>
    <row r="12" spans="1:27" s="59" customFormat="1" ht="15" hidden="1" customHeight="1" x14ac:dyDescent="0.25">
      <c r="A12" s="422"/>
      <c r="B12" s="287"/>
      <c r="C12" s="151" t="s">
        <v>99</v>
      </c>
      <c r="D12" s="152"/>
      <c r="E12" s="152"/>
      <c r="F12" s="153"/>
      <c r="G12" s="153"/>
      <c r="H12" s="154"/>
      <c r="I12" s="727" t="str">
        <f>IF(NeededMgmt=0,IF((12-COUNTIF(PersonTotals,0))&gt;0,ROUND(I11/(12-COUNTIF(PersonTotals,0)),0),"-"),"")</f>
        <v>-</v>
      </c>
      <c r="J12" s="728"/>
      <c r="K12" s="728"/>
      <c r="L12" s="730" t="str">
        <f>IF(NeededFin=0,IF((12-COUNTIF(PersonTotals,0))&gt;0,ROUND(L11/(12-COUNTIF(PersonTotals,0)),0),"-"),"")</f>
        <v>-</v>
      </c>
      <c r="M12" s="731"/>
      <c r="N12" s="732"/>
      <c r="O12" s="730" t="str">
        <f>IF(NeededSales=0,IF((12-COUNTIF(PersonTotals,0))&gt;0,ROUND(O11/(12-COUNTIF(PersonTotals,0)),0),"-"),"")</f>
        <v>-</v>
      </c>
      <c r="P12" s="732"/>
      <c r="Q12" s="730" t="str">
        <f>IF(NeededOps=0,IF((12-COUNTIF(PersonTotals,0))&gt;0,ROUND(Q11/(12-COUNTIF(PersonTotals,0)),0),"-"),"")</f>
        <v>-</v>
      </c>
      <c r="R12" s="731"/>
      <c r="S12" s="732"/>
      <c r="T12" s="730" t="str">
        <f>IF(NeededWhse=0,IF((12-COUNTIF(PersonTotals,0))&gt;0,ROUND(T11/(12-COUNTIF(PersonTotals,0)),0),"-"),"")</f>
        <v>-</v>
      </c>
      <c r="U12" s="731"/>
      <c r="V12" s="732"/>
      <c r="W12" s="204" t="str">
        <f>IF(NeededRiskMgmt=0,IF((12-COUNTIF(PersonTotals,0))&gt;0,ROUND(W11/(12-COUNTIF(PersonTotals,0)),0),"-"),"")</f>
        <v>-</v>
      </c>
      <c r="X12" s="205" t="str">
        <f>IF((12-COUNTIF(PersonTotals,0))&gt;0,ROUND(X11/(12-COUNTIF(PersonTotals,0)),0),"-")</f>
        <v>-</v>
      </c>
      <c r="Y12" s="84"/>
    </row>
    <row r="13" spans="1:27" s="59" customFormat="1" ht="15" hidden="1" customHeight="1" x14ac:dyDescent="0.25">
      <c r="A13" s="422"/>
      <c r="B13" s="287"/>
      <c r="C13" s="91" t="s">
        <v>100</v>
      </c>
      <c r="D13" s="92"/>
      <c r="E13" s="92"/>
      <c r="F13" s="89"/>
      <c r="G13" s="89"/>
      <c r="H13" s="93"/>
      <c r="I13" s="764">
        <f>PointsManagement</f>
        <v>120</v>
      </c>
      <c r="J13" s="734"/>
      <c r="K13" s="734"/>
      <c r="L13" s="733">
        <f>PointsFinance</f>
        <v>72</v>
      </c>
      <c r="M13" s="739"/>
      <c r="N13" s="740"/>
      <c r="O13" s="733">
        <f>PointsSales</f>
        <v>68</v>
      </c>
      <c r="P13" s="740"/>
      <c r="Q13" s="733">
        <f>PointsOperations</f>
        <v>100</v>
      </c>
      <c r="R13" s="734"/>
      <c r="S13" s="735"/>
      <c r="T13" s="733">
        <f>PointsWarehouse</f>
        <v>72</v>
      </c>
      <c r="U13" s="739"/>
      <c r="V13" s="740"/>
      <c r="W13" s="206">
        <f>PointsRiskManagement</f>
        <v>64</v>
      </c>
      <c r="X13" s="207">
        <f>PointsTotal</f>
        <v>496</v>
      </c>
      <c r="Y13" s="84"/>
    </row>
    <row r="14" spans="1:27" s="59" customFormat="1" ht="15" customHeight="1" thickBot="1" x14ac:dyDescent="0.3">
      <c r="A14" s="422"/>
      <c r="B14" s="287"/>
      <c r="C14" s="188" t="s">
        <v>204</v>
      </c>
      <c r="D14" s="189"/>
      <c r="E14" s="189"/>
      <c r="F14" s="190"/>
      <c r="G14" s="190"/>
      <c r="H14" s="190"/>
      <c r="I14" s="765" t="str">
        <f>'Report - Summary'!K8</f>
        <v>-</v>
      </c>
      <c r="J14" s="766"/>
      <c r="K14" s="767"/>
      <c r="L14" s="736" t="str">
        <f>'Report - Summary'!K9</f>
        <v>-</v>
      </c>
      <c r="M14" s="754"/>
      <c r="N14" s="753"/>
      <c r="O14" s="736" t="str">
        <f>'Report - Summary'!K10</f>
        <v>-</v>
      </c>
      <c r="P14" s="753"/>
      <c r="Q14" s="736" t="str">
        <f>'Report - Summary'!K11</f>
        <v>-</v>
      </c>
      <c r="R14" s="737"/>
      <c r="S14" s="738"/>
      <c r="T14" s="736" t="str">
        <f>'Report - Summary'!K12</f>
        <v>-</v>
      </c>
      <c r="U14" s="769"/>
      <c r="V14" s="770"/>
      <c r="W14" s="285" t="str">
        <f>'Report - Summary'!K13</f>
        <v>-</v>
      </c>
      <c r="X14" s="286" t="str">
        <f>'Report - Summary'!K14</f>
        <v>-</v>
      </c>
      <c r="Y14" s="84"/>
    </row>
    <row r="15" spans="1:27" s="59" customFormat="1" ht="19.5" customHeight="1" thickTop="1" x14ac:dyDescent="0.25">
      <c r="A15" s="422"/>
      <c r="B15" s="287"/>
      <c r="C15" s="715" t="s">
        <v>67</v>
      </c>
      <c r="D15" s="716"/>
      <c r="E15" s="716"/>
      <c r="F15" s="716"/>
      <c r="G15" s="716"/>
      <c r="H15" s="716"/>
      <c r="I15" s="761"/>
      <c r="J15" s="757"/>
      <c r="K15" s="762"/>
      <c r="L15" s="710"/>
      <c r="M15" s="716"/>
      <c r="N15" s="755"/>
      <c r="O15" s="710"/>
      <c r="P15" s="666"/>
      <c r="Q15" s="756"/>
      <c r="R15" s="757"/>
      <c r="S15" s="758"/>
      <c r="T15" s="756"/>
      <c r="U15" s="665"/>
      <c r="V15" s="666"/>
      <c r="W15" s="282"/>
      <c r="X15" s="283"/>
      <c r="Y15" s="84"/>
    </row>
    <row r="16" spans="1:27" s="59" customFormat="1" ht="15" customHeight="1" x14ac:dyDescent="0.25">
      <c r="A16" s="422"/>
      <c r="B16" s="287"/>
      <c r="C16" s="707" t="s">
        <v>24</v>
      </c>
      <c r="D16" s="708"/>
      <c r="E16" s="708"/>
      <c r="F16" s="708"/>
      <c r="G16" s="708"/>
      <c r="H16" s="709"/>
      <c r="I16" s="704" t="str">
        <f>IF(NeededMgmt=0,IF(SUM(I23:K45)&lt;&gt;0,ROUND((I23+I29+I35+I41)/(SUM(I23:K26)+SUM(I29:K32)+SUM(I35:K38)+SUM(I41:K44)),2),"-"),"")</f>
        <v>-</v>
      </c>
      <c r="J16" s="705"/>
      <c r="K16" s="706"/>
      <c r="L16" s="711" t="str">
        <f>IF(NeededFin=0,IF(SUM(L23:L45)&lt;&gt;0,ROUND((L23+L29+L35+L41)/(SUM(L23:L26)+SUM(L29:L32)+SUM(L35:L38)+SUM(L41:L44)),2),"-"),"")</f>
        <v>-</v>
      </c>
      <c r="M16" s="636"/>
      <c r="N16" s="623"/>
      <c r="O16" s="711" t="str">
        <f>IF(NeededSales=0,IF(SUM(O23:O45)&lt;&gt;0,ROUND((O23+O29+O35+O41)/(SUM(O23:O26)+SUM(O29:O32)+SUM(O35:O38)+SUM(O41:O44)),2),"-"),"")</f>
        <v>-</v>
      </c>
      <c r="P16" s="623"/>
      <c r="Q16" s="712" t="str">
        <f>IF(NeededOps=0,IF(SUM(Q23:S45)&lt;&gt;0,ROUND((Q23+Q29+Q35+Q41)/(SUM(Q23:S26)+SUM(Q29:S32)+SUM(Q35:S38)+SUM(Q41:S44)),2),"-"),"")</f>
        <v>-</v>
      </c>
      <c r="R16" s="713"/>
      <c r="S16" s="613"/>
      <c r="T16" s="712" t="str">
        <f>IF(NeededWhse=0,IF(SUM(T23:T45)&lt;&gt;0,ROUND((T23+T29+T35+T41)/(SUM(T23:T26)+SUM(T29:T32)+SUM(T35:T38)+SUM(T41:T44)),2),"-"),"")</f>
        <v>-</v>
      </c>
      <c r="U16" s="636"/>
      <c r="V16" s="623"/>
      <c r="W16" s="94" t="str">
        <f>IF(NeededRiskMgmt=0,IF(SUM(W23:W45)&lt;&gt;0,ROUND((W23+W29+W35+W41)/(SUM(W23:W26)+SUM(W29:W32)+SUM(W35:W38)+SUM(W41:W44)),2),"-"),"")</f>
        <v>-</v>
      </c>
      <c r="X16" s="95" t="str">
        <f>IF(SUM(X23:X45)&lt;&gt;0,ROUND((X23+X29+X35+X41)/(SUM(X23:X26)+SUM(X29:X32)+SUM(X35:X38)+SUM(X41:X44)),2),"-")</f>
        <v>-</v>
      </c>
      <c r="Y16" s="84"/>
    </row>
    <row r="17" spans="1:25" s="59" customFormat="1" ht="15" customHeight="1" x14ac:dyDescent="0.25">
      <c r="A17" s="422"/>
      <c r="B17" s="287"/>
      <c r="C17" s="707" t="s">
        <v>23</v>
      </c>
      <c r="D17" s="708"/>
      <c r="E17" s="708"/>
      <c r="F17" s="708"/>
      <c r="G17" s="708"/>
      <c r="H17" s="709"/>
      <c r="I17" s="704" t="str">
        <f>IF(NeededMgmt=0,IF(SUM(I23:K45)&lt;&gt;0,ROUND((I24+I30+I36+I42)/(SUM(I23:K26)+SUM(I29:K32)+SUM(I35:K38)+SUM(I41:K44)),2),"-"),"")</f>
        <v>-</v>
      </c>
      <c r="J17" s="705"/>
      <c r="K17" s="706"/>
      <c r="L17" s="711" t="str">
        <f>IF(NeededFin=0,IF(SUM(L23:L45)&lt;&gt;0,ROUND((L24+L30+L36+L42)/(SUM(L23:L26)+SUM(L29:L32)+SUM(L35:L38)+SUM(L41:L44)),2),"-"),"")</f>
        <v>-</v>
      </c>
      <c r="M17" s="636"/>
      <c r="N17" s="623"/>
      <c r="O17" s="711" t="str">
        <f>IF(NeededSales=0,IF(SUM(O23:O45)&lt;&gt;0,ROUND((O24+O30+O36+O42)/(SUM(O23:O26)+SUM(O29:O32)+SUM(O35:O38)+SUM(O41:O44)),2),"-"),"")</f>
        <v>-</v>
      </c>
      <c r="P17" s="623"/>
      <c r="Q17" s="712" t="str">
        <f>IF(NeededOps=0,IF(SUM(Q23:S45)&lt;&gt;0,ROUND((Q24+Q30+Q36+Q42)/(SUM(Q23:S26)+SUM(Q29:S32)+SUM(Q35:S38)+SUM(Q41:S44)),2),"-"),"")</f>
        <v>-</v>
      </c>
      <c r="R17" s="713"/>
      <c r="S17" s="613"/>
      <c r="T17" s="712" t="str">
        <f>IF(NeededWhse=0,IF(SUM(T23:T45)&lt;&gt;0,ROUND((T24+T30+T36+T42)/(SUM(T23:T26)+SUM(T29:T32)+SUM(T35:T38)+SUM(T41:T44)),2),"-"),"")</f>
        <v>-</v>
      </c>
      <c r="U17" s="636"/>
      <c r="V17" s="623"/>
      <c r="W17" s="94" t="str">
        <f>IF(NeededRiskMgmt=0,IF(SUM(W23:W45)&lt;&gt;0,ROUND((W24+W30+W36+W42)/(SUM(W23:W26)+SUM(W29:W32)+SUM(W35:W38)+SUM(W41:W44)),2),"-"),"")</f>
        <v>-</v>
      </c>
      <c r="X17" s="95" t="str">
        <f>IF(SUM(X23:X45)&lt;&gt;0,ROUND((X24+X30+X36+X42)/(SUM(X23:X26)+SUM(X29:X32)+SUM(X35:X38)+SUM(X41:X44)),2),"-")</f>
        <v>-</v>
      </c>
      <c r="Y17" s="84"/>
    </row>
    <row r="18" spans="1:25" s="59" customFormat="1" ht="15" customHeight="1" x14ac:dyDescent="0.25">
      <c r="A18" s="422"/>
      <c r="B18" s="287"/>
      <c r="C18" s="707" t="s">
        <v>22</v>
      </c>
      <c r="D18" s="708"/>
      <c r="E18" s="708"/>
      <c r="F18" s="708"/>
      <c r="G18" s="708"/>
      <c r="H18" s="709"/>
      <c r="I18" s="704" t="str">
        <f>IF(NeededMgmt=0,IF(SUM(I23:K45)&lt;&gt;0,ROUND((I25+I31+I37+I43)/(SUM(I23:K26)+SUM(I29:K32)+SUM(I35:K38)+SUM(I41:K44)),2),"-"),"")</f>
        <v>-</v>
      </c>
      <c r="J18" s="705"/>
      <c r="K18" s="706"/>
      <c r="L18" s="711" t="str">
        <f>IF(NeededFin=0,IF(SUM(L23:L45)&lt;&gt;0,ROUND((L25+L31+L37+L43)/(SUM(L23:L26)+SUM(L29:L32)+SUM(L35:L38)+SUM(L41:L44)),2),"-"),"")</f>
        <v>-</v>
      </c>
      <c r="M18" s="636"/>
      <c r="N18" s="623"/>
      <c r="O18" s="711" t="str">
        <f>IF(NeededSales=0,IF(SUM(O23:O45)&lt;&gt;0,ROUND((O25+O31+O37+O43)/(SUM(O23:O26)+SUM(O29:O32)+SUM(O35:O38)+SUM(O41:O44)),2),"-"),"")</f>
        <v>-</v>
      </c>
      <c r="P18" s="623"/>
      <c r="Q18" s="712" t="str">
        <f>IF(NeededOps=0,IF(SUM(Q23:S45)&lt;&gt;0,ROUND((Q25+Q31+Q37+Q43)/(SUM(Q23:S26)+SUM(Q29:S32)+SUM(Q35:S38)+SUM(Q41:S44)),2),"-"),"")</f>
        <v>-</v>
      </c>
      <c r="R18" s="713"/>
      <c r="S18" s="613"/>
      <c r="T18" s="712" t="str">
        <f>IF(NeededWhse=0,IF(SUM(T23:T45)&lt;&gt;0,ROUND((T25+T31+T37+T43)/(SUM(T23:T26)+SUM(T29:T32)+SUM(T35:T38)+SUM(T41:T44)),2),"-"),"")</f>
        <v>-</v>
      </c>
      <c r="U18" s="636"/>
      <c r="V18" s="623"/>
      <c r="W18" s="94" t="str">
        <f>IF(NeededRiskMgmt=0,IF(SUM(W23:W45)&lt;&gt;0,ROUND((W25+W31+W37+W43)/(SUM(W23:W26)+SUM(W29:W32)+SUM(W35:W38)+SUM(W41:W44)),2),"-"),"")</f>
        <v>-</v>
      </c>
      <c r="X18" s="95" t="str">
        <f>IF(SUM(X23:X45)&lt;&gt;0,ROUND((X25+X31+X37+X43)/(SUM(X23:X26)+SUM(X29:X32)+SUM(X35:X38)+SUM(X41:X44)),2),"-")</f>
        <v>-</v>
      </c>
      <c r="Y18" s="84"/>
    </row>
    <row r="19" spans="1:25" s="59" customFormat="1" ht="15" customHeight="1" x14ac:dyDescent="0.25">
      <c r="A19" s="422"/>
      <c r="B19" s="287"/>
      <c r="C19" s="707" t="s">
        <v>49</v>
      </c>
      <c r="D19" s="708"/>
      <c r="E19" s="708"/>
      <c r="F19" s="708"/>
      <c r="G19" s="708"/>
      <c r="H19" s="709"/>
      <c r="I19" s="704">
        <f>IF(NeededMgmt=0,1-SUM(I16:K18),"")</f>
        <v>1</v>
      </c>
      <c r="J19" s="705"/>
      <c r="K19" s="706"/>
      <c r="L19" s="711">
        <f>IF(NeededFin=0,1-SUM(L16:L18),"")</f>
        <v>1</v>
      </c>
      <c r="M19" s="636"/>
      <c r="N19" s="623"/>
      <c r="O19" s="711">
        <f>IF(NeededSales=0,1-SUM(O16:O18),"")</f>
        <v>1</v>
      </c>
      <c r="P19" s="623"/>
      <c r="Q19" s="706">
        <f>IF(NeededOps=0,1-SUM(Q16:S18),"")</f>
        <v>1</v>
      </c>
      <c r="R19" s="706"/>
      <c r="S19" s="714" t="str">
        <f>IF(SUM(S23:T45)&lt;&gt;0,ROUND((S26+S32+S38+S44)/(SUM(S23:T26)+SUM(S29:T32)+SUM(S35:T38)+SUM(S41:T44)),2),"-")</f>
        <v>-</v>
      </c>
      <c r="T19" s="712">
        <f>IF(NeededWhse=0,1-SUM(T16:T18),"")</f>
        <v>1</v>
      </c>
      <c r="U19" s="636"/>
      <c r="V19" s="623"/>
      <c r="W19" s="94">
        <f>IF(NeededRiskMgmt=0,1-SUM(W16:W18),"")</f>
        <v>1</v>
      </c>
      <c r="X19" s="95">
        <f>1-SUM(X16:X18)</f>
        <v>1</v>
      </c>
      <c r="Y19" s="84"/>
    </row>
    <row r="20" spans="1:25" s="59" customFormat="1" ht="15" customHeight="1" thickBot="1" x14ac:dyDescent="0.25">
      <c r="A20" s="422"/>
      <c r="B20" s="287"/>
      <c r="C20" s="461"/>
      <c r="D20" s="345"/>
      <c r="E20" s="345"/>
      <c r="F20" s="345"/>
      <c r="G20" s="345"/>
      <c r="H20" s="345"/>
      <c r="I20" s="346"/>
      <c r="J20" s="346"/>
      <c r="K20" s="347"/>
      <c r="L20" s="348"/>
      <c r="M20" s="349"/>
      <c r="N20" s="350"/>
      <c r="O20" s="348"/>
      <c r="P20" s="350"/>
      <c r="Q20" s="351"/>
      <c r="R20" s="352"/>
      <c r="S20" s="353"/>
      <c r="T20" s="354"/>
      <c r="U20" s="349"/>
      <c r="V20" s="350"/>
      <c r="W20" s="351"/>
      <c r="X20" s="484" t="s">
        <v>331</v>
      </c>
      <c r="Y20" s="84"/>
    </row>
    <row r="21" spans="1:25" s="59" customFormat="1" ht="19.5" customHeight="1" thickTop="1" x14ac:dyDescent="0.25">
      <c r="A21" s="422"/>
      <c r="B21" s="287"/>
      <c r="C21" s="715" t="s">
        <v>56</v>
      </c>
      <c r="D21" s="719"/>
      <c r="E21" s="719"/>
      <c r="F21" s="719"/>
      <c r="G21" s="719"/>
      <c r="H21" s="720"/>
      <c r="I21" s="761"/>
      <c r="J21" s="757"/>
      <c r="K21" s="762"/>
      <c r="L21" s="710"/>
      <c r="M21" s="759"/>
      <c r="N21" s="760"/>
      <c r="O21" s="710"/>
      <c r="P21" s="760"/>
      <c r="Q21" s="756"/>
      <c r="R21" s="757"/>
      <c r="S21" s="762"/>
      <c r="T21" s="756"/>
      <c r="U21" s="757"/>
      <c r="V21" s="762"/>
      <c r="W21" s="282"/>
      <c r="X21" s="283"/>
      <c r="Y21" s="84"/>
    </row>
    <row r="22" spans="1:25" s="59" customFormat="1" ht="2.25" customHeight="1" thickBot="1" x14ac:dyDescent="0.3">
      <c r="A22" s="422"/>
      <c r="B22" s="287"/>
      <c r="C22" s="363"/>
      <c r="D22" s="364"/>
      <c r="E22" s="364"/>
      <c r="F22" s="364"/>
      <c r="G22" s="364"/>
      <c r="H22" s="364"/>
      <c r="I22" s="365"/>
      <c r="J22" s="365"/>
      <c r="K22" s="365"/>
      <c r="L22" s="366"/>
      <c r="M22" s="367"/>
      <c r="N22" s="368"/>
      <c r="O22" s="366"/>
      <c r="P22" s="368"/>
      <c r="Q22" s="369"/>
      <c r="R22" s="365"/>
      <c r="S22" s="370"/>
      <c r="T22" s="369"/>
      <c r="U22" s="365"/>
      <c r="V22" s="370"/>
      <c r="W22" s="369"/>
      <c r="X22" s="371"/>
      <c r="Y22" s="84"/>
    </row>
    <row r="23" spans="1:25" s="59" customFormat="1" ht="15" customHeight="1" thickTop="1" x14ac:dyDescent="0.25">
      <c r="A23" s="422"/>
      <c r="B23" s="287"/>
      <c r="C23" s="685" t="str">
        <f>Name1</f>
        <v>1</v>
      </c>
      <c r="D23" s="686"/>
      <c r="E23" s="687"/>
      <c r="F23" s="688">
        <v>1</v>
      </c>
      <c r="G23" s="689"/>
      <c r="H23" s="690"/>
      <c r="I23" s="691">
        <f>IF('Enter Results'!K23=0,'Enter Results'!G23,0)</f>
        <v>0</v>
      </c>
      <c r="J23" s="682"/>
      <c r="K23" s="682"/>
      <c r="L23" s="670">
        <f>IF('Enter Results'!K24=0,'Enter Results'!G24,0)</f>
        <v>0</v>
      </c>
      <c r="M23" s="671"/>
      <c r="N23" s="672"/>
      <c r="O23" s="670">
        <f>IF('Enter Results'!K25=0,'Enter Results'!G25,0)</f>
        <v>0</v>
      </c>
      <c r="P23" s="672"/>
      <c r="Q23" s="681">
        <f>IF('Enter Results'!K26=0,'Enter Results'!G26,0)</f>
        <v>0</v>
      </c>
      <c r="R23" s="682"/>
      <c r="S23" s="683"/>
      <c r="T23" s="681">
        <f>IF('Enter Results'!K27=0,'Enter Results'!G27,0)</f>
        <v>0</v>
      </c>
      <c r="U23" s="671"/>
      <c r="V23" s="672"/>
      <c r="W23" s="96">
        <f>IF('Enter Results'!K28=0,'Enter Results'!G28,0)</f>
        <v>0</v>
      </c>
      <c r="X23" s="145">
        <f>SUM(I23:W23)</f>
        <v>0</v>
      </c>
      <c r="Y23" s="84"/>
    </row>
    <row r="24" spans="1:25" s="59" customFormat="1" x14ac:dyDescent="0.25">
      <c r="A24" s="422"/>
      <c r="B24" s="287"/>
      <c r="C24" s="97"/>
      <c r="D24" s="98"/>
      <c r="E24" s="99"/>
      <c r="F24" s="659">
        <v>2</v>
      </c>
      <c r="G24" s="660"/>
      <c r="H24" s="661"/>
      <c r="I24" s="662">
        <f>IF('Enter Results'!K23=0,'Enter Results'!H23,0)</f>
        <v>0</v>
      </c>
      <c r="J24" s="663"/>
      <c r="K24" s="663"/>
      <c r="L24" s="658">
        <f>IF('Enter Results'!K24=0,'Enter Results'!H24,0)</f>
        <v>0</v>
      </c>
      <c r="M24" s="636"/>
      <c r="N24" s="623"/>
      <c r="O24" s="658">
        <f>IF('Enter Results'!K25=0,'Enter Results'!H25,0)</f>
        <v>0</v>
      </c>
      <c r="P24" s="623"/>
      <c r="Q24" s="635">
        <f>IF('Enter Results'!K26=0,'Enter Results'!H26,0)</f>
        <v>0</v>
      </c>
      <c r="R24" s="663"/>
      <c r="S24" s="669"/>
      <c r="T24" s="635">
        <f>IF('Enter Results'!K27=0,'Enter Results'!H27,0)</f>
        <v>0</v>
      </c>
      <c r="U24" s="636"/>
      <c r="V24" s="623"/>
      <c r="W24" s="90">
        <f>IF('Enter Results'!K28=0,'Enter Results'!H28,0)</f>
        <v>0</v>
      </c>
      <c r="X24" s="144">
        <f>SUM(I24:W24)</f>
        <v>0</v>
      </c>
      <c r="Y24" s="84"/>
    </row>
    <row r="25" spans="1:25" s="59" customFormat="1" x14ac:dyDescent="0.25">
      <c r="A25" s="422"/>
      <c r="B25" s="287"/>
      <c r="C25" s="101"/>
      <c r="D25" s="98"/>
      <c r="E25" s="99"/>
      <c r="F25" s="659">
        <v>3</v>
      </c>
      <c r="G25" s="660"/>
      <c r="H25" s="661"/>
      <c r="I25" s="662">
        <f>IF('Enter Results'!K23=0,'Enter Results'!I23,0)</f>
        <v>0</v>
      </c>
      <c r="J25" s="663"/>
      <c r="K25" s="663"/>
      <c r="L25" s="658">
        <f>IF('Enter Results'!K24=0,'Enter Results'!I24,0)</f>
        <v>0</v>
      </c>
      <c r="M25" s="636"/>
      <c r="N25" s="623"/>
      <c r="O25" s="658">
        <f>IF('Enter Results'!K25=0,'Enter Results'!I25,0)</f>
        <v>0</v>
      </c>
      <c r="P25" s="623"/>
      <c r="Q25" s="635">
        <f>IF('Enter Results'!K26=0,'Enter Results'!I26,0)</f>
        <v>0</v>
      </c>
      <c r="R25" s="663"/>
      <c r="S25" s="669"/>
      <c r="T25" s="635">
        <f>IF('Enter Results'!K27=0,'Enter Results'!I27,0)</f>
        <v>0</v>
      </c>
      <c r="U25" s="636"/>
      <c r="V25" s="623"/>
      <c r="W25" s="90">
        <f>IF('Enter Results'!K28=0,'Enter Results'!I28,0)</f>
        <v>0</v>
      </c>
      <c r="X25" s="144">
        <f>SUM(I25:W25)</f>
        <v>0</v>
      </c>
      <c r="Y25" s="84"/>
    </row>
    <row r="26" spans="1:25" s="59" customFormat="1" x14ac:dyDescent="0.25">
      <c r="A26" s="422"/>
      <c r="B26" s="287"/>
      <c r="C26" s="97"/>
      <c r="D26" s="98"/>
      <c r="E26" s="99"/>
      <c r="F26" s="659">
        <v>4</v>
      </c>
      <c r="G26" s="660"/>
      <c r="H26" s="661"/>
      <c r="I26" s="662">
        <f>IF('Enter Results'!K23=0,'Enter Results'!J23,0)</f>
        <v>0</v>
      </c>
      <c r="J26" s="663"/>
      <c r="K26" s="663"/>
      <c r="L26" s="658">
        <f>IF('Enter Results'!K24=0,'Enter Results'!J24,0)</f>
        <v>0</v>
      </c>
      <c r="M26" s="636"/>
      <c r="N26" s="623"/>
      <c r="O26" s="658">
        <f>IF('Enter Results'!K25=0,'Enter Results'!J25,0)</f>
        <v>0</v>
      </c>
      <c r="P26" s="623"/>
      <c r="Q26" s="635">
        <f>IF('Enter Results'!K26=0,'Enter Results'!J26,0)</f>
        <v>0</v>
      </c>
      <c r="R26" s="663"/>
      <c r="S26" s="669"/>
      <c r="T26" s="635">
        <f>IF('Enter Results'!K27=0,'Enter Results'!J27,0)</f>
        <v>0</v>
      </c>
      <c r="U26" s="636"/>
      <c r="V26" s="623"/>
      <c r="W26" s="90">
        <f>IF('Enter Results'!K28=0,'Enter Results'!J28,0)</f>
        <v>0</v>
      </c>
      <c r="X26" s="144">
        <f>SUM(I26:W26)</f>
        <v>0</v>
      </c>
      <c r="Y26" s="84"/>
    </row>
    <row r="27" spans="1:25" s="59" customFormat="1" x14ac:dyDescent="0.25">
      <c r="A27" s="422"/>
      <c r="B27" s="287"/>
      <c r="C27" s="102" t="s">
        <v>68</v>
      </c>
      <c r="D27" s="103"/>
      <c r="E27" s="103"/>
      <c r="F27" s="104"/>
      <c r="G27" s="104"/>
      <c r="H27" s="105"/>
      <c r="I27" s="667">
        <f>(I23*1)+(I24*2)+(I25*3)+(I26*4)</f>
        <v>0</v>
      </c>
      <c r="J27" s="668"/>
      <c r="K27" s="668"/>
      <c r="L27" s="693">
        <f>(L23*1)+(L24*2)+(L25*3)+(L26*4)</f>
        <v>0</v>
      </c>
      <c r="M27" s="636"/>
      <c r="N27" s="623"/>
      <c r="O27" s="693">
        <f>(O23*1)+(O24*2)+(O25*3)+(O26*4)</f>
        <v>0</v>
      </c>
      <c r="P27" s="623"/>
      <c r="Q27" s="677">
        <f>(Q23*1)+(Q24*2)+(Q25*3)+(Q26*4)</f>
        <v>0</v>
      </c>
      <c r="R27" s="668"/>
      <c r="S27" s="678"/>
      <c r="T27" s="771">
        <f>(T23*1)+(T24*2)+(T25*3)+(T26*4)</f>
        <v>0</v>
      </c>
      <c r="U27" s="636"/>
      <c r="V27" s="623"/>
      <c r="W27" s="106">
        <f>(W23*1)+(W24*2)+(W25*3)+(W26*4)</f>
        <v>0</v>
      </c>
      <c r="X27" s="146">
        <f>SUM(I27:W27)</f>
        <v>0</v>
      </c>
      <c r="Y27" s="84"/>
    </row>
    <row r="28" spans="1:25" s="98" customFormat="1" ht="15.75" thickBot="1" x14ac:dyDescent="0.3">
      <c r="A28" s="423"/>
      <c r="C28" s="107" t="s">
        <v>69</v>
      </c>
      <c r="D28" s="108"/>
      <c r="E28" s="108"/>
      <c r="F28" s="109"/>
      <c r="G28" s="109"/>
      <c r="H28" s="110"/>
      <c r="I28" s="673">
        <f>ROUND(I27/PointsManagement,2)</f>
        <v>0</v>
      </c>
      <c r="J28" s="674"/>
      <c r="K28" s="675"/>
      <c r="L28" s="679">
        <f>ROUND(L27/PointsFinance,2)</f>
        <v>0</v>
      </c>
      <c r="M28" s="684"/>
      <c r="N28" s="680"/>
      <c r="O28" s="679">
        <f>ROUND(O27/PointsSales,2)</f>
        <v>0</v>
      </c>
      <c r="P28" s="680"/>
      <c r="Q28" s="675">
        <f>ROUND(Q27/PointsOperations,2)</f>
        <v>0</v>
      </c>
      <c r="R28" s="675"/>
      <c r="S28" s="676">
        <f>ROUND(S27/PointsSales,2)</f>
        <v>0</v>
      </c>
      <c r="T28" s="679">
        <f>ROUND(T27/PointsWarehouse,2)</f>
        <v>0</v>
      </c>
      <c r="U28" s="684"/>
      <c r="V28" s="680"/>
      <c r="W28" s="235">
        <f>ROUND(W27/PointsRiskManagement,2)</f>
        <v>0</v>
      </c>
      <c r="X28" s="111">
        <f>ROUND(X27/PointsTotal,2)</f>
        <v>0</v>
      </c>
      <c r="Y28" s="84"/>
    </row>
    <row r="29" spans="1:25" s="59" customFormat="1" ht="15" customHeight="1" thickTop="1" x14ac:dyDescent="0.25">
      <c r="A29" s="422"/>
      <c r="B29" s="287"/>
      <c r="C29" s="685" t="str">
        <f>Name2</f>
        <v>2</v>
      </c>
      <c r="D29" s="686"/>
      <c r="E29" s="687"/>
      <c r="F29" s="688">
        <v>1</v>
      </c>
      <c r="G29" s="689"/>
      <c r="H29" s="690"/>
      <c r="I29" s="691">
        <f>IF('Enter Results'!K35=0,'Enter Results'!G35,0)</f>
        <v>0</v>
      </c>
      <c r="J29" s="682"/>
      <c r="K29" s="682"/>
      <c r="L29" s="670">
        <f>IF('Enter Results'!K36=0,'Enter Results'!G36,0)</f>
        <v>0</v>
      </c>
      <c r="M29" s="671"/>
      <c r="N29" s="672"/>
      <c r="O29" s="670">
        <f>IF('Enter Results'!K37=0,'Enter Results'!G37,0)</f>
        <v>0</v>
      </c>
      <c r="P29" s="672"/>
      <c r="Q29" s="681">
        <f>IF('Enter Results'!K38=0,'Enter Results'!G38,0)</f>
        <v>0</v>
      </c>
      <c r="R29" s="682"/>
      <c r="S29" s="683"/>
      <c r="T29" s="681">
        <f>IF('Enter Results'!K39=0,'Enter Results'!G39,0)</f>
        <v>0</v>
      </c>
      <c r="U29" s="671"/>
      <c r="V29" s="672"/>
      <c r="W29" s="96">
        <f>IF('Enter Results'!K40=0,'Enter Results'!G40,0)</f>
        <v>0</v>
      </c>
      <c r="X29" s="145">
        <f>SUM(I29:W29)</f>
        <v>0</v>
      </c>
      <c r="Y29" s="84"/>
    </row>
    <row r="30" spans="1:25" s="59" customFormat="1" x14ac:dyDescent="0.25">
      <c r="A30" s="422"/>
      <c r="B30" s="287"/>
      <c r="C30" s="97"/>
      <c r="D30" s="98"/>
      <c r="E30" s="99"/>
      <c r="F30" s="659">
        <v>2</v>
      </c>
      <c r="G30" s="660"/>
      <c r="H30" s="661"/>
      <c r="I30" s="662">
        <f>IF('Enter Results'!K35=0,'Enter Results'!H35,0)</f>
        <v>0</v>
      </c>
      <c r="J30" s="663"/>
      <c r="K30" s="663"/>
      <c r="L30" s="658">
        <f>IF('Enter Results'!K36=0,'Enter Results'!H36,0)</f>
        <v>0</v>
      </c>
      <c r="M30" s="636"/>
      <c r="N30" s="623"/>
      <c r="O30" s="658">
        <f>IF('Enter Results'!K37=0,'Enter Results'!H37,0)</f>
        <v>0</v>
      </c>
      <c r="P30" s="623"/>
      <c r="Q30" s="635">
        <f>IF('Enter Results'!K38=0,'Enter Results'!H38,0)</f>
        <v>0</v>
      </c>
      <c r="R30" s="663"/>
      <c r="S30" s="669"/>
      <c r="T30" s="635">
        <f>IF('Enter Results'!K39=0,'Enter Results'!H39,0)</f>
        <v>0</v>
      </c>
      <c r="U30" s="636"/>
      <c r="V30" s="623"/>
      <c r="W30" s="90">
        <f>IF('Enter Results'!K40=0,'Enter Results'!H40,0)</f>
        <v>0</v>
      </c>
      <c r="X30" s="144">
        <f>SUM(I30:W30)</f>
        <v>0</v>
      </c>
      <c r="Y30" s="84"/>
    </row>
    <row r="31" spans="1:25" s="59" customFormat="1" x14ac:dyDescent="0.25">
      <c r="A31" s="422"/>
      <c r="B31" s="287"/>
      <c r="C31" s="101"/>
      <c r="D31" s="98"/>
      <c r="E31" s="99"/>
      <c r="F31" s="659">
        <v>3</v>
      </c>
      <c r="G31" s="660"/>
      <c r="H31" s="661"/>
      <c r="I31" s="662">
        <f>IF('Enter Results'!K35=0,'Enter Results'!I35,0)</f>
        <v>0</v>
      </c>
      <c r="J31" s="663"/>
      <c r="K31" s="663"/>
      <c r="L31" s="658">
        <f>IF('Enter Results'!K36=0,'Enter Results'!I36,0)</f>
        <v>0</v>
      </c>
      <c r="M31" s="636"/>
      <c r="N31" s="623"/>
      <c r="O31" s="658">
        <f>IF('Enter Results'!K37=0,'Enter Results'!I37,0)</f>
        <v>0</v>
      </c>
      <c r="P31" s="623"/>
      <c r="Q31" s="635">
        <f>IF('Enter Results'!K38=0,'Enter Results'!I38,0)</f>
        <v>0</v>
      </c>
      <c r="R31" s="663"/>
      <c r="S31" s="669"/>
      <c r="T31" s="635">
        <f>IF('Enter Results'!K39=0,'Enter Results'!I39,0)</f>
        <v>0</v>
      </c>
      <c r="U31" s="636"/>
      <c r="V31" s="623"/>
      <c r="W31" s="90">
        <f>IF('Enter Results'!K40=0,'Enter Results'!I40,0)</f>
        <v>0</v>
      </c>
      <c r="X31" s="144">
        <f>SUM(I31:W31)</f>
        <v>0</v>
      </c>
      <c r="Y31" s="84"/>
    </row>
    <row r="32" spans="1:25" s="59" customFormat="1" x14ac:dyDescent="0.25">
      <c r="A32" s="422"/>
      <c r="B32" s="287"/>
      <c r="C32" s="97"/>
      <c r="D32" s="98"/>
      <c r="E32" s="99"/>
      <c r="F32" s="659">
        <v>4</v>
      </c>
      <c r="G32" s="660"/>
      <c r="H32" s="661"/>
      <c r="I32" s="662">
        <f>IF('Enter Results'!K35=0,'Enter Results'!J35,0)</f>
        <v>0</v>
      </c>
      <c r="J32" s="663"/>
      <c r="K32" s="663"/>
      <c r="L32" s="658">
        <f>IF('Enter Results'!K36=0,'Enter Results'!J36,0)</f>
        <v>0</v>
      </c>
      <c r="M32" s="636"/>
      <c r="N32" s="623"/>
      <c r="O32" s="658">
        <f>IF('Enter Results'!K37=0,'Enter Results'!J37,0)</f>
        <v>0</v>
      </c>
      <c r="P32" s="623"/>
      <c r="Q32" s="635">
        <f>IF('Enter Results'!K38=0,'Enter Results'!J38,0)</f>
        <v>0</v>
      </c>
      <c r="R32" s="663"/>
      <c r="S32" s="669"/>
      <c r="T32" s="635">
        <f>IF('Enter Results'!K39=0,'Enter Results'!J39,0)</f>
        <v>0</v>
      </c>
      <c r="U32" s="636"/>
      <c r="V32" s="623"/>
      <c r="W32" s="90">
        <f>IF('Enter Results'!K40=0,'Enter Results'!J40,0)</f>
        <v>0</v>
      </c>
      <c r="X32" s="144">
        <f>SUM(I32:W32)</f>
        <v>0</v>
      </c>
      <c r="Y32" s="84"/>
    </row>
    <row r="33" spans="1:25" s="59" customFormat="1" x14ac:dyDescent="0.25">
      <c r="A33" s="422"/>
      <c r="B33" s="287"/>
      <c r="C33" s="102" t="s">
        <v>68</v>
      </c>
      <c r="D33" s="103"/>
      <c r="E33" s="103"/>
      <c r="F33" s="104"/>
      <c r="G33" s="104"/>
      <c r="H33" s="105"/>
      <c r="I33" s="667">
        <f>(I29*1)+(I30*2)+(I31*3)+(I32*4)</f>
        <v>0</v>
      </c>
      <c r="J33" s="668"/>
      <c r="K33" s="668"/>
      <c r="L33" s="693">
        <f>(L29*1)+(L30*2)+(L31*3)+(L32*4)</f>
        <v>0</v>
      </c>
      <c r="M33" s="636"/>
      <c r="N33" s="623"/>
      <c r="O33" s="693">
        <f>(O29*1)+(O30*2)+(O31*3)+(O32*4)</f>
        <v>0</v>
      </c>
      <c r="P33" s="623"/>
      <c r="Q33" s="677">
        <f>(Q29*1)+(Q30*2)+(Q31*3)+(Q32*4)</f>
        <v>0</v>
      </c>
      <c r="R33" s="668"/>
      <c r="S33" s="678"/>
      <c r="T33" s="771">
        <f>(T29*1)+(T30*2)+(T31*3)+(T32*4)</f>
        <v>0</v>
      </c>
      <c r="U33" s="636"/>
      <c r="V33" s="623"/>
      <c r="W33" s="106">
        <f>(W29*1)+(W30*2)+(W31*3)+(W32*4)</f>
        <v>0</v>
      </c>
      <c r="X33" s="146">
        <f>SUM(I33:W33)</f>
        <v>0</v>
      </c>
      <c r="Y33" s="84"/>
    </row>
    <row r="34" spans="1:25" s="98" customFormat="1" ht="15.75" thickBot="1" x14ac:dyDescent="0.3">
      <c r="A34" s="423"/>
      <c r="C34" s="107" t="s">
        <v>69</v>
      </c>
      <c r="D34" s="108"/>
      <c r="E34" s="108"/>
      <c r="F34" s="109"/>
      <c r="G34" s="109"/>
      <c r="H34" s="110"/>
      <c r="I34" s="673">
        <f>ROUND(I33/PointsManagement,2)</f>
        <v>0</v>
      </c>
      <c r="J34" s="674"/>
      <c r="K34" s="675"/>
      <c r="L34" s="679">
        <f>ROUND(L33/PointsFinance,2)</f>
        <v>0</v>
      </c>
      <c r="M34" s="684"/>
      <c r="N34" s="680"/>
      <c r="O34" s="679">
        <f>ROUND(O33/PointsSales,2)</f>
        <v>0</v>
      </c>
      <c r="P34" s="680"/>
      <c r="Q34" s="675">
        <f>ROUND(Q33/PointsOperations,2)</f>
        <v>0</v>
      </c>
      <c r="R34" s="675"/>
      <c r="S34" s="676">
        <f>ROUND(S33/PointsSales,2)</f>
        <v>0</v>
      </c>
      <c r="T34" s="679">
        <f>ROUND(T33/PointsWarehouse,2)</f>
        <v>0</v>
      </c>
      <c r="U34" s="684"/>
      <c r="V34" s="680"/>
      <c r="W34" s="235">
        <f>ROUND(W33/PointsRiskManagement,2)</f>
        <v>0</v>
      </c>
      <c r="X34" s="111">
        <f>ROUND(X33/PointsTotal,2)</f>
        <v>0</v>
      </c>
      <c r="Y34" s="84"/>
    </row>
    <row r="35" spans="1:25" s="59" customFormat="1" ht="15" customHeight="1" thickTop="1" x14ac:dyDescent="0.25">
      <c r="A35" s="422"/>
      <c r="B35" s="287"/>
      <c r="C35" s="685" t="str">
        <f>Name3</f>
        <v>3</v>
      </c>
      <c r="D35" s="686"/>
      <c r="E35" s="687"/>
      <c r="F35" s="688">
        <v>1</v>
      </c>
      <c r="G35" s="689"/>
      <c r="H35" s="690"/>
      <c r="I35" s="691">
        <f>IF('Enter Results'!K47=0,'Enter Results'!G47,0)</f>
        <v>0</v>
      </c>
      <c r="J35" s="682"/>
      <c r="K35" s="682"/>
      <c r="L35" s="670">
        <f>IF('Enter Results'!K48=0,'Enter Results'!G48,0)</f>
        <v>0</v>
      </c>
      <c r="M35" s="671"/>
      <c r="N35" s="672"/>
      <c r="O35" s="670">
        <f>IF('Enter Results'!K49=0,'Enter Results'!G49,0)</f>
        <v>0</v>
      </c>
      <c r="P35" s="672"/>
      <c r="Q35" s="681">
        <f>IF('Enter Results'!K50=0,'Enter Results'!G50,0)</f>
        <v>0</v>
      </c>
      <c r="R35" s="682"/>
      <c r="S35" s="683"/>
      <c r="T35" s="681">
        <f>IF('Enter Results'!K51=0,'Enter Results'!G51,0)</f>
        <v>0</v>
      </c>
      <c r="U35" s="671"/>
      <c r="V35" s="672"/>
      <c r="W35" s="96">
        <f>IF('Enter Results'!K52=0,'Enter Results'!G52,0)</f>
        <v>0</v>
      </c>
      <c r="X35" s="145">
        <f>SUM(I35:W35)</f>
        <v>0</v>
      </c>
      <c r="Y35" s="84"/>
    </row>
    <row r="36" spans="1:25" s="59" customFormat="1" x14ac:dyDescent="0.25">
      <c r="A36" s="422"/>
      <c r="B36" s="287"/>
      <c r="C36" s="97"/>
      <c r="D36" s="98"/>
      <c r="E36" s="99"/>
      <c r="F36" s="659">
        <v>2</v>
      </c>
      <c r="G36" s="660"/>
      <c r="H36" s="661"/>
      <c r="I36" s="662">
        <f>IF('Enter Results'!K47=0,'Enter Results'!H47,0)</f>
        <v>0</v>
      </c>
      <c r="J36" s="663"/>
      <c r="K36" s="663"/>
      <c r="L36" s="658">
        <f>IF('Enter Results'!K48=0,'Enter Results'!H48,0)</f>
        <v>0</v>
      </c>
      <c r="M36" s="636"/>
      <c r="N36" s="623"/>
      <c r="O36" s="658">
        <f>IF('Enter Results'!K49=0,'Enter Results'!H49,0)</f>
        <v>0</v>
      </c>
      <c r="P36" s="623"/>
      <c r="Q36" s="635">
        <f>IF('Enter Results'!K50=0,'Enter Results'!H50,0)</f>
        <v>0</v>
      </c>
      <c r="R36" s="663"/>
      <c r="S36" s="669"/>
      <c r="T36" s="635">
        <f>IF('Enter Results'!K51=0,'Enter Results'!H51,0)</f>
        <v>0</v>
      </c>
      <c r="U36" s="636"/>
      <c r="V36" s="623"/>
      <c r="W36" s="90">
        <f>IF('Enter Results'!K52=0,'Enter Results'!H52,0)</f>
        <v>0</v>
      </c>
      <c r="X36" s="144">
        <f>SUM(I36:W36)</f>
        <v>0</v>
      </c>
      <c r="Y36" s="84"/>
    </row>
    <row r="37" spans="1:25" s="59" customFormat="1" x14ac:dyDescent="0.25">
      <c r="A37" s="422"/>
      <c r="B37" s="287"/>
      <c r="C37" s="101"/>
      <c r="D37" s="98"/>
      <c r="E37" s="99"/>
      <c r="F37" s="659">
        <v>3</v>
      </c>
      <c r="G37" s="660"/>
      <c r="H37" s="661"/>
      <c r="I37" s="662">
        <f>IF('Enter Results'!K47=0,'Enter Results'!I47,0)</f>
        <v>0</v>
      </c>
      <c r="J37" s="663"/>
      <c r="K37" s="663"/>
      <c r="L37" s="658">
        <f>IF('Enter Results'!K48=0,'Enter Results'!I48,0)</f>
        <v>0</v>
      </c>
      <c r="M37" s="636"/>
      <c r="N37" s="623"/>
      <c r="O37" s="658">
        <f>IF('Enter Results'!K49=0,'Enter Results'!I49,0)</f>
        <v>0</v>
      </c>
      <c r="P37" s="623"/>
      <c r="Q37" s="635">
        <f>IF('Enter Results'!K50=0,'Enter Results'!I50,0)</f>
        <v>0</v>
      </c>
      <c r="R37" s="663"/>
      <c r="S37" s="669"/>
      <c r="T37" s="635">
        <f>IF('Enter Results'!K51=0,'Enter Results'!I51,0)</f>
        <v>0</v>
      </c>
      <c r="U37" s="636"/>
      <c r="V37" s="623"/>
      <c r="W37" s="90">
        <f>IF('Enter Results'!K52=0,'Enter Results'!I52,0)</f>
        <v>0</v>
      </c>
      <c r="X37" s="144">
        <f>SUM(I37:W37)</f>
        <v>0</v>
      </c>
      <c r="Y37" s="84"/>
    </row>
    <row r="38" spans="1:25" s="59" customFormat="1" x14ac:dyDescent="0.25">
      <c r="A38" s="422"/>
      <c r="B38" s="287"/>
      <c r="C38" s="97"/>
      <c r="D38" s="98"/>
      <c r="E38" s="99"/>
      <c r="F38" s="659">
        <v>4</v>
      </c>
      <c r="G38" s="660"/>
      <c r="H38" s="661"/>
      <c r="I38" s="662">
        <f>IF('Enter Results'!K47=0,'Enter Results'!J47,0)</f>
        <v>0</v>
      </c>
      <c r="J38" s="663"/>
      <c r="K38" s="663"/>
      <c r="L38" s="658">
        <f>IF('Enter Results'!K48=0,'Enter Results'!J48,0)</f>
        <v>0</v>
      </c>
      <c r="M38" s="636"/>
      <c r="N38" s="623"/>
      <c r="O38" s="658">
        <f>IF('Enter Results'!K49=0,'Enter Results'!J49,0)</f>
        <v>0</v>
      </c>
      <c r="P38" s="623"/>
      <c r="Q38" s="635">
        <f>IF('Enter Results'!K50=0,'Enter Results'!J50,0)</f>
        <v>0</v>
      </c>
      <c r="R38" s="663"/>
      <c r="S38" s="669"/>
      <c r="T38" s="635">
        <f>IF('Enter Results'!K51=0,'Enter Results'!J51,0)</f>
        <v>0</v>
      </c>
      <c r="U38" s="636"/>
      <c r="V38" s="623"/>
      <c r="W38" s="90">
        <f>IF('Enter Results'!K52=0,'Enter Results'!J52,0)</f>
        <v>0</v>
      </c>
      <c r="X38" s="144">
        <f>SUM(I38:W38)</f>
        <v>0</v>
      </c>
      <c r="Y38" s="84"/>
    </row>
    <row r="39" spans="1:25" s="59" customFormat="1" x14ac:dyDescent="0.25">
      <c r="A39" s="422"/>
      <c r="B39" s="287"/>
      <c r="C39" s="102" t="s">
        <v>68</v>
      </c>
      <c r="D39" s="103"/>
      <c r="E39" s="103"/>
      <c r="F39" s="104"/>
      <c r="G39" s="104"/>
      <c r="H39" s="105"/>
      <c r="I39" s="667">
        <f>(I35*1)+(I36*2)+(I37*3)+(I38*4)</f>
        <v>0</v>
      </c>
      <c r="J39" s="668"/>
      <c r="K39" s="668"/>
      <c r="L39" s="693">
        <f>(L35*1)+(L36*2)+(L37*3)+(L38*4)</f>
        <v>0</v>
      </c>
      <c r="M39" s="636"/>
      <c r="N39" s="623"/>
      <c r="O39" s="693">
        <f>(O35*1)+(O36*2)+(O37*3)+(O38*4)</f>
        <v>0</v>
      </c>
      <c r="P39" s="623"/>
      <c r="Q39" s="677">
        <f>(Q35*1)+(Q36*2)+(Q37*3)+(Q38*4)</f>
        <v>0</v>
      </c>
      <c r="R39" s="668"/>
      <c r="S39" s="678"/>
      <c r="T39" s="771">
        <f>(T35*1)+(T36*2)+(T37*3)+(T38*4)</f>
        <v>0</v>
      </c>
      <c r="U39" s="636"/>
      <c r="V39" s="623"/>
      <c r="W39" s="106">
        <f>(W35*1)+(W36*2)+(W37*3)+(W38*4)</f>
        <v>0</v>
      </c>
      <c r="X39" s="146">
        <f>SUM(I39:W39)</f>
        <v>0</v>
      </c>
      <c r="Y39" s="84"/>
    </row>
    <row r="40" spans="1:25" s="98" customFormat="1" ht="15.75" thickBot="1" x14ac:dyDescent="0.3">
      <c r="A40" s="423"/>
      <c r="C40" s="107" t="s">
        <v>69</v>
      </c>
      <c r="D40" s="108"/>
      <c r="E40" s="108"/>
      <c r="F40" s="109"/>
      <c r="G40" s="109"/>
      <c r="H40" s="110"/>
      <c r="I40" s="673">
        <f>ROUND(I39/PointsManagement,2)</f>
        <v>0</v>
      </c>
      <c r="J40" s="674"/>
      <c r="K40" s="675"/>
      <c r="L40" s="679">
        <f>ROUND(L39/PointsFinance,2)</f>
        <v>0</v>
      </c>
      <c r="M40" s="684"/>
      <c r="N40" s="680"/>
      <c r="O40" s="679">
        <f>ROUND(O39/PointsSales,2)</f>
        <v>0</v>
      </c>
      <c r="P40" s="680"/>
      <c r="Q40" s="675">
        <f>ROUND(Q39/PointsOperations,2)</f>
        <v>0</v>
      </c>
      <c r="R40" s="675"/>
      <c r="S40" s="676">
        <f>ROUND(S39/PointsSales,2)</f>
        <v>0</v>
      </c>
      <c r="T40" s="679">
        <f>ROUND(T39/PointsWarehouse,2)</f>
        <v>0</v>
      </c>
      <c r="U40" s="684"/>
      <c r="V40" s="680"/>
      <c r="W40" s="235">
        <f>ROUND(W39/PointsRiskManagement,2)</f>
        <v>0</v>
      </c>
      <c r="X40" s="111">
        <f>ROUND(X39/PointsTotal,2)</f>
        <v>0</v>
      </c>
      <c r="Y40" s="84"/>
    </row>
    <row r="41" spans="1:25" s="59" customFormat="1" ht="15" customHeight="1" thickTop="1" x14ac:dyDescent="0.25">
      <c r="A41" s="422"/>
      <c r="B41" s="287"/>
      <c r="C41" s="685" t="str">
        <f>Name4</f>
        <v>4</v>
      </c>
      <c r="D41" s="686"/>
      <c r="E41" s="687"/>
      <c r="F41" s="688">
        <v>1</v>
      </c>
      <c r="G41" s="689"/>
      <c r="H41" s="690"/>
      <c r="I41" s="691">
        <f>IF('Enter Results'!K59=0,'Enter Results'!G59,0)</f>
        <v>0</v>
      </c>
      <c r="J41" s="682"/>
      <c r="K41" s="682"/>
      <c r="L41" s="670">
        <f>IF('Enter Results'!K60=0,'Enter Results'!G60,0)</f>
        <v>0</v>
      </c>
      <c r="M41" s="671"/>
      <c r="N41" s="672"/>
      <c r="O41" s="670">
        <f>IF('Enter Results'!K61=0,'Enter Results'!G61,0)</f>
        <v>0</v>
      </c>
      <c r="P41" s="672"/>
      <c r="Q41" s="681">
        <f>IF('Enter Results'!K62=0,'Enter Results'!G62,0)</f>
        <v>0</v>
      </c>
      <c r="R41" s="682"/>
      <c r="S41" s="683"/>
      <c r="T41" s="681">
        <f>IF('Enter Results'!K63=0,'Enter Results'!G63,0)</f>
        <v>0</v>
      </c>
      <c r="U41" s="671"/>
      <c r="V41" s="672"/>
      <c r="W41" s="96">
        <f>IF('Enter Results'!K64=0,'Enter Results'!G64,0)</f>
        <v>0</v>
      </c>
      <c r="X41" s="145">
        <f>SUM(I41:W41)</f>
        <v>0</v>
      </c>
      <c r="Y41" s="84"/>
    </row>
    <row r="42" spans="1:25" s="59" customFormat="1" x14ac:dyDescent="0.25">
      <c r="A42" s="422"/>
      <c r="B42" s="287"/>
      <c r="C42" s="97"/>
      <c r="D42" s="98"/>
      <c r="E42" s="99"/>
      <c r="F42" s="659">
        <v>2</v>
      </c>
      <c r="G42" s="660"/>
      <c r="H42" s="661"/>
      <c r="I42" s="662">
        <f>IF('Enter Results'!K59=0,'Enter Results'!H59,0)</f>
        <v>0</v>
      </c>
      <c r="J42" s="663"/>
      <c r="K42" s="663"/>
      <c r="L42" s="658">
        <f>IF('Enter Results'!K60=0,'Enter Results'!H60,0)</f>
        <v>0</v>
      </c>
      <c r="M42" s="636"/>
      <c r="N42" s="623"/>
      <c r="O42" s="658">
        <f>IF('Enter Results'!K61=0,'Enter Results'!H61,0)</f>
        <v>0</v>
      </c>
      <c r="P42" s="623"/>
      <c r="Q42" s="635">
        <f>IF('Enter Results'!K62=0,'Enter Results'!H62,0)</f>
        <v>0</v>
      </c>
      <c r="R42" s="663"/>
      <c r="S42" s="669"/>
      <c r="T42" s="635">
        <f>IF('Enter Results'!K63=0,'Enter Results'!H63,0)</f>
        <v>0</v>
      </c>
      <c r="U42" s="636"/>
      <c r="V42" s="623"/>
      <c r="W42" s="90">
        <f>IF('Enter Results'!K64=0,'Enter Results'!H64,0)</f>
        <v>0</v>
      </c>
      <c r="X42" s="144">
        <f>SUM(I42:W42)</f>
        <v>0</v>
      </c>
      <c r="Y42" s="84"/>
    </row>
    <row r="43" spans="1:25" s="59" customFormat="1" x14ac:dyDescent="0.25">
      <c r="A43" s="422"/>
      <c r="B43" s="287"/>
      <c r="C43" s="101"/>
      <c r="D43" s="98"/>
      <c r="E43" s="99"/>
      <c r="F43" s="659">
        <v>3</v>
      </c>
      <c r="G43" s="660"/>
      <c r="H43" s="661"/>
      <c r="I43" s="662">
        <f>IF('Enter Results'!K59=0,'Enter Results'!I59,0)</f>
        <v>0</v>
      </c>
      <c r="J43" s="663"/>
      <c r="K43" s="663"/>
      <c r="L43" s="658">
        <f>IF('Enter Results'!K60=0,'Enter Results'!I60,0)</f>
        <v>0</v>
      </c>
      <c r="M43" s="636"/>
      <c r="N43" s="623"/>
      <c r="O43" s="658">
        <f>IF('Enter Results'!K61=0,'Enter Results'!I61,0)</f>
        <v>0</v>
      </c>
      <c r="P43" s="623"/>
      <c r="Q43" s="635">
        <f>IF('Enter Results'!K62=0,'Enter Results'!I62,0)</f>
        <v>0</v>
      </c>
      <c r="R43" s="663"/>
      <c r="S43" s="669"/>
      <c r="T43" s="635">
        <f>IF('Enter Results'!K63=0,'Enter Results'!I63,0)</f>
        <v>0</v>
      </c>
      <c r="U43" s="636"/>
      <c r="V43" s="623"/>
      <c r="W43" s="90">
        <f>IF('Enter Results'!K64=0,'Enter Results'!I64,0)</f>
        <v>0</v>
      </c>
      <c r="X43" s="144">
        <f>SUM(I43:W43)</f>
        <v>0</v>
      </c>
      <c r="Y43" s="84"/>
    </row>
    <row r="44" spans="1:25" s="59" customFormat="1" x14ac:dyDescent="0.25">
      <c r="A44" s="422"/>
      <c r="B44" s="287"/>
      <c r="C44" s="97"/>
      <c r="D44" s="98"/>
      <c r="E44" s="99"/>
      <c r="F44" s="659">
        <v>4</v>
      </c>
      <c r="G44" s="660"/>
      <c r="H44" s="661"/>
      <c r="I44" s="662">
        <f>IF('Enter Results'!K59=0,'Enter Results'!J59,0)</f>
        <v>0</v>
      </c>
      <c r="J44" s="663"/>
      <c r="K44" s="663"/>
      <c r="L44" s="658">
        <f>IF('Enter Results'!K60=0,'Enter Results'!J60,0)</f>
        <v>0</v>
      </c>
      <c r="M44" s="636"/>
      <c r="N44" s="623"/>
      <c r="O44" s="658">
        <f>IF('Enter Results'!K61=0,'Enter Results'!J61,0)</f>
        <v>0</v>
      </c>
      <c r="P44" s="623"/>
      <c r="Q44" s="635">
        <f>IF('Enter Results'!K62=0,'Enter Results'!J62,0)</f>
        <v>0</v>
      </c>
      <c r="R44" s="663"/>
      <c r="S44" s="669"/>
      <c r="T44" s="635">
        <f>IF('Enter Results'!K63=0,'Enter Results'!J63,0)</f>
        <v>0</v>
      </c>
      <c r="U44" s="636"/>
      <c r="V44" s="623"/>
      <c r="W44" s="90">
        <f>IF('Enter Results'!K64=0,'Enter Results'!J64,0)</f>
        <v>0</v>
      </c>
      <c r="X44" s="144">
        <f>SUM(I44:W44)</f>
        <v>0</v>
      </c>
      <c r="Y44" s="84"/>
    </row>
    <row r="45" spans="1:25" s="59" customFormat="1" x14ac:dyDescent="0.25">
      <c r="A45" s="422"/>
      <c r="B45" s="287"/>
      <c r="C45" s="102" t="s">
        <v>68</v>
      </c>
      <c r="D45" s="103"/>
      <c r="E45" s="103"/>
      <c r="F45" s="104"/>
      <c r="G45" s="104"/>
      <c r="H45" s="105"/>
      <c r="I45" s="667">
        <f>(I41*1)+(I42*2)+(I43*3)+(I44*4)</f>
        <v>0</v>
      </c>
      <c r="J45" s="668"/>
      <c r="K45" s="668"/>
      <c r="L45" s="693">
        <f>(L41*1)+(L42*2)+(L43*3)+(L44*4)</f>
        <v>0</v>
      </c>
      <c r="M45" s="636"/>
      <c r="N45" s="623"/>
      <c r="O45" s="693">
        <f>(O41*1)+(O42*2)+(O43*3)+(O44*4)</f>
        <v>0</v>
      </c>
      <c r="P45" s="623"/>
      <c r="Q45" s="677">
        <f>(Q41*1)+(Q42*2)+(Q43*3)+(Q44*4)</f>
        <v>0</v>
      </c>
      <c r="R45" s="668"/>
      <c r="S45" s="678"/>
      <c r="T45" s="771">
        <f>(T41*1)+(T42*2)+(T43*3)+(T44*4)</f>
        <v>0</v>
      </c>
      <c r="U45" s="636"/>
      <c r="V45" s="623"/>
      <c r="W45" s="106">
        <f>(W41*1)+(W42*2)+(W43*3)+(W44*4)</f>
        <v>0</v>
      </c>
      <c r="X45" s="146">
        <f>SUM(I45:W45)</f>
        <v>0</v>
      </c>
      <c r="Y45" s="84"/>
    </row>
    <row r="46" spans="1:25" s="98" customFormat="1" ht="15.75" thickBot="1" x14ac:dyDescent="0.3">
      <c r="A46" s="423"/>
      <c r="C46" s="107" t="s">
        <v>69</v>
      </c>
      <c r="D46" s="108"/>
      <c r="E46" s="108"/>
      <c r="F46" s="109"/>
      <c r="G46" s="109"/>
      <c r="H46" s="110"/>
      <c r="I46" s="673">
        <f>ROUND(I45/PointsManagement,2)</f>
        <v>0</v>
      </c>
      <c r="J46" s="674"/>
      <c r="K46" s="675"/>
      <c r="L46" s="679">
        <f>ROUND(L45/PointsFinance,2)</f>
        <v>0</v>
      </c>
      <c r="M46" s="684"/>
      <c r="N46" s="680"/>
      <c r="O46" s="679">
        <f>ROUND(O45/PointsSales,2)</f>
        <v>0</v>
      </c>
      <c r="P46" s="680"/>
      <c r="Q46" s="675">
        <f>ROUND(Q45/PointsOperations,2)</f>
        <v>0</v>
      </c>
      <c r="R46" s="675"/>
      <c r="S46" s="676">
        <f>ROUND(S45/PointsSales,2)</f>
        <v>0</v>
      </c>
      <c r="T46" s="679">
        <f>ROUND(T45/PointsWarehouse,2)</f>
        <v>0</v>
      </c>
      <c r="U46" s="684"/>
      <c r="V46" s="680"/>
      <c r="W46" s="235">
        <f>ROUND(W45/PointsRiskManagement,2)</f>
        <v>0</v>
      </c>
      <c r="X46" s="111">
        <f>ROUND(X45/PointsTotal,2)</f>
        <v>0</v>
      </c>
      <c r="Y46" s="84"/>
    </row>
    <row r="47" spans="1:25" s="59" customFormat="1" ht="15" customHeight="1" thickTop="1" x14ac:dyDescent="0.25">
      <c r="A47" s="422"/>
      <c r="B47" s="287"/>
      <c r="C47" s="685" t="str">
        <f>Name5</f>
        <v>5</v>
      </c>
      <c r="D47" s="686"/>
      <c r="E47" s="687"/>
      <c r="F47" s="688">
        <v>1</v>
      </c>
      <c r="G47" s="689"/>
      <c r="H47" s="690"/>
      <c r="I47" s="691">
        <f>IF('Enter Results'!K71=0,'Enter Results'!G71,0)</f>
        <v>0</v>
      </c>
      <c r="J47" s="682"/>
      <c r="K47" s="682"/>
      <c r="L47" s="670">
        <f>IF('Enter Results'!K72=0,'Enter Results'!G72,0)</f>
        <v>0</v>
      </c>
      <c r="M47" s="671"/>
      <c r="N47" s="672"/>
      <c r="O47" s="670">
        <f>IF('Enter Results'!K73=0,'Enter Results'!G73,0)</f>
        <v>0</v>
      </c>
      <c r="P47" s="672"/>
      <c r="Q47" s="681">
        <f>IF('Enter Results'!K74=0,'Enter Results'!G74,0)</f>
        <v>0</v>
      </c>
      <c r="R47" s="682"/>
      <c r="S47" s="683"/>
      <c r="T47" s="681">
        <f>IF('Enter Results'!K75=0,'Enter Results'!G75,0)</f>
        <v>0</v>
      </c>
      <c r="U47" s="671"/>
      <c r="V47" s="672"/>
      <c r="W47" s="96">
        <f>IF('Enter Results'!K76=0,'Enter Results'!G76,0)</f>
        <v>0</v>
      </c>
      <c r="X47" s="145">
        <f>SUM(I47:W47)</f>
        <v>0</v>
      </c>
      <c r="Y47" s="84"/>
    </row>
    <row r="48" spans="1:25" s="59" customFormat="1" x14ac:dyDescent="0.25">
      <c r="A48" s="422"/>
      <c r="B48" s="287"/>
      <c r="C48" s="97"/>
      <c r="D48" s="98"/>
      <c r="E48" s="99"/>
      <c r="F48" s="659">
        <v>2</v>
      </c>
      <c r="G48" s="660"/>
      <c r="H48" s="661"/>
      <c r="I48" s="662">
        <f>IF('Enter Results'!K71=0,'Enter Results'!H71,0)</f>
        <v>0</v>
      </c>
      <c r="J48" s="663"/>
      <c r="K48" s="663"/>
      <c r="L48" s="658">
        <f>IF('Enter Results'!K72=0,'Enter Results'!H72,0)</f>
        <v>0</v>
      </c>
      <c r="M48" s="636"/>
      <c r="N48" s="623"/>
      <c r="O48" s="658">
        <f>IF('Enter Results'!K73=0,'Enter Results'!H73,0)</f>
        <v>0</v>
      </c>
      <c r="P48" s="623"/>
      <c r="Q48" s="635">
        <f>IF('Enter Results'!K74=0,'Enter Results'!H74,0)</f>
        <v>0</v>
      </c>
      <c r="R48" s="663"/>
      <c r="S48" s="669"/>
      <c r="T48" s="635">
        <f>IF('Enter Results'!K75=0,'Enter Results'!H75,0)</f>
        <v>0</v>
      </c>
      <c r="U48" s="636"/>
      <c r="V48" s="623"/>
      <c r="W48" s="90">
        <f>IF('Enter Results'!K76=0,'Enter Results'!H76,0)</f>
        <v>0</v>
      </c>
      <c r="X48" s="144">
        <f>SUM(I48:W48)</f>
        <v>0</v>
      </c>
      <c r="Y48" s="84"/>
    </row>
    <row r="49" spans="1:25" s="59" customFormat="1" x14ac:dyDescent="0.25">
      <c r="A49" s="422"/>
      <c r="B49" s="287"/>
      <c r="C49" s="101"/>
      <c r="D49" s="98"/>
      <c r="E49" s="99"/>
      <c r="F49" s="659">
        <v>3</v>
      </c>
      <c r="G49" s="660"/>
      <c r="H49" s="661"/>
      <c r="I49" s="662">
        <f>IF('Enter Results'!K71=0,'Enter Results'!I71,0)</f>
        <v>0</v>
      </c>
      <c r="J49" s="663"/>
      <c r="K49" s="663"/>
      <c r="L49" s="658">
        <f>IF('Enter Results'!K72=0,'Enter Results'!I72,0)</f>
        <v>0</v>
      </c>
      <c r="M49" s="636"/>
      <c r="N49" s="623"/>
      <c r="O49" s="658">
        <f>IF('Enter Results'!K73=0,'Enter Results'!I73,0)</f>
        <v>0</v>
      </c>
      <c r="P49" s="623"/>
      <c r="Q49" s="635">
        <f>IF('Enter Results'!K74=0,'Enter Results'!I74,0)</f>
        <v>0</v>
      </c>
      <c r="R49" s="663"/>
      <c r="S49" s="669"/>
      <c r="T49" s="635">
        <f>IF('Enter Results'!K75=0,'Enter Results'!I75,0)</f>
        <v>0</v>
      </c>
      <c r="U49" s="636"/>
      <c r="V49" s="623"/>
      <c r="W49" s="90">
        <f>IF('Enter Results'!K76=0,'Enter Results'!I76,0)</f>
        <v>0</v>
      </c>
      <c r="X49" s="144">
        <f>SUM(I49:W49)</f>
        <v>0</v>
      </c>
      <c r="Y49" s="84"/>
    </row>
    <row r="50" spans="1:25" s="59" customFormat="1" x14ac:dyDescent="0.25">
      <c r="A50" s="422"/>
      <c r="B50" s="287"/>
      <c r="C50" s="97"/>
      <c r="D50" s="98"/>
      <c r="E50" s="99"/>
      <c r="F50" s="659">
        <v>4</v>
      </c>
      <c r="G50" s="660"/>
      <c r="H50" s="661"/>
      <c r="I50" s="662">
        <f>IF('Enter Results'!K71=0,'Enter Results'!J71,0)</f>
        <v>0</v>
      </c>
      <c r="J50" s="663"/>
      <c r="K50" s="663"/>
      <c r="L50" s="658">
        <f>IF('Enter Results'!K72=0,'Enter Results'!J72,0)</f>
        <v>0</v>
      </c>
      <c r="M50" s="636"/>
      <c r="N50" s="623"/>
      <c r="O50" s="658">
        <f>IF('Enter Results'!K73=0,'Enter Results'!J73,0)</f>
        <v>0</v>
      </c>
      <c r="P50" s="623"/>
      <c r="Q50" s="635">
        <f>IF('Enter Results'!K74=0,'Enter Results'!J74,0)</f>
        <v>0</v>
      </c>
      <c r="R50" s="663"/>
      <c r="S50" s="669"/>
      <c r="T50" s="635">
        <f>IF('Enter Results'!K75=0,'Enter Results'!J75,0)</f>
        <v>0</v>
      </c>
      <c r="U50" s="636"/>
      <c r="V50" s="623"/>
      <c r="W50" s="90">
        <f>IF('Enter Results'!K76=0,'Enter Results'!J76,0)</f>
        <v>0</v>
      </c>
      <c r="X50" s="144">
        <f>SUM(I50:W50)</f>
        <v>0</v>
      </c>
      <c r="Y50" s="84"/>
    </row>
    <row r="51" spans="1:25" s="59" customFormat="1" x14ac:dyDescent="0.25">
      <c r="A51" s="422"/>
      <c r="B51" s="287"/>
      <c r="C51" s="102" t="s">
        <v>68</v>
      </c>
      <c r="D51" s="103"/>
      <c r="E51" s="103"/>
      <c r="F51" s="104"/>
      <c r="G51" s="104"/>
      <c r="H51" s="105"/>
      <c r="I51" s="667">
        <f>(I47*1)+(I48*2)+(I49*3)+(I50*4)</f>
        <v>0</v>
      </c>
      <c r="J51" s="668"/>
      <c r="K51" s="668"/>
      <c r="L51" s="693">
        <f>(L47*1)+(L48*2)+(L49*3)+(L50*4)</f>
        <v>0</v>
      </c>
      <c r="M51" s="636"/>
      <c r="N51" s="623"/>
      <c r="O51" s="693">
        <f>(O47*1)+(O48*2)+(O49*3)+(O50*4)</f>
        <v>0</v>
      </c>
      <c r="P51" s="623"/>
      <c r="Q51" s="677">
        <f>(Q47*1)+(Q48*2)+(Q49*3)+(Q50*4)</f>
        <v>0</v>
      </c>
      <c r="R51" s="668"/>
      <c r="S51" s="678"/>
      <c r="T51" s="771">
        <f>(T47*1)+(T48*2)+(T49*3)+(T50*4)</f>
        <v>0</v>
      </c>
      <c r="U51" s="636"/>
      <c r="V51" s="623"/>
      <c r="W51" s="106">
        <f>(W47*1)+(W48*2)+(W49*3)+(W50*4)</f>
        <v>0</v>
      </c>
      <c r="X51" s="146">
        <f>SUM(I51:W51)</f>
        <v>0</v>
      </c>
      <c r="Y51" s="84"/>
    </row>
    <row r="52" spans="1:25" s="98" customFormat="1" ht="15.75" thickBot="1" x14ac:dyDescent="0.3">
      <c r="A52" s="423"/>
      <c r="C52" s="107" t="s">
        <v>69</v>
      </c>
      <c r="D52" s="108"/>
      <c r="E52" s="108"/>
      <c r="F52" s="109"/>
      <c r="G52" s="109"/>
      <c r="H52" s="110"/>
      <c r="I52" s="673">
        <f>ROUND(I51/PointsManagement,2)</f>
        <v>0</v>
      </c>
      <c r="J52" s="674"/>
      <c r="K52" s="675"/>
      <c r="L52" s="679">
        <f>ROUND(L51/PointsFinance,2)</f>
        <v>0</v>
      </c>
      <c r="M52" s="684"/>
      <c r="N52" s="680"/>
      <c r="O52" s="679">
        <f>ROUND(O51/PointsSales,2)</f>
        <v>0</v>
      </c>
      <c r="P52" s="680"/>
      <c r="Q52" s="675">
        <f>ROUND(Q51/PointsOperations,2)</f>
        <v>0</v>
      </c>
      <c r="R52" s="675"/>
      <c r="S52" s="676">
        <f>ROUND(S51/PointsSales,2)</f>
        <v>0</v>
      </c>
      <c r="T52" s="679">
        <f>ROUND(T51/PointsWarehouse,2)</f>
        <v>0</v>
      </c>
      <c r="U52" s="684"/>
      <c r="V52" s="680"/>
      <c r="W52" s="235">
        <f>ROUND(W51/PointsRiskManagement,2)</f>
        <v>0</v>
      </c>
      <c r="X52" s="111">
        <f>ROUND(X51/PointsTotal,2)</f>
        <v>0</v>
      </c>
      <c r="Y52" s="84"/>
    </row>
    <row r="53" spans="1:25" s="59" customFormat="1" ht="15" customHeight="1" thickTop="1" x14ac:dyDescent="0.25">
      <c r="A53" s="422"/>
      <c r="B53" s="287"/>
      <c r="C53" s="685" t="str">
        <f>Name6</f>
        <v>6</v>
      </c>
      <c r="D53" s="686"/>
      <c r="E53" s="687"/>
      <c r="F53" s="688">
        <v>1</v>
      </c>
      <c r="G53" s="689"/>
      <c r="H53" s="690"/>
      <c r="I53" s="691">
        <f>IF('Enter Results'!K83=0,'Enter Results'!G83,0)</f>
        <v>0</v>
      </c>
      <c r="J53" s="682"/>
      <c r="K53" s="682"/>
      <c r="L53" s="670">
        <f>IF('Enter Results'!K84=0,'Enter Results'!G84,0)</f>
        <v>0</v>
      </c>
      <c r="M53" s="671"/>
      <c r="N53" s="672"/>
      <c r="O53" s="670">
        <f>IF('Enter Results'!K85=0,'Enter Results'!G85,0)</f>
        <v>0</v>
      </c>
      <c r="P53" s="672"/>
      <c r="Q53" s="681">
        <f>IF('Enter Results'!K86=0,'Enter Results'!G86,0)</f>
        <v>0</v>
      </c>
      <c r="R53" s="682"/>
      <c r="S53" s="683"/>
      <c r="T53" s="681">
        <f>IF('Enter Results'!K87=0,'Enter Results'!G87,0)</f>
        <v>0</v>
      </c>
      <c r="U53" s="671"/>
      <c r="V53" s="672"/>
      <c r="W53" s="96">
        <f>IF('Enter Results'!K88=0,'Enter Results'!G88,0)</f>
        <v>0</v>
      </c>
      <c r="X53" s="145">
        <f>SUM(I53:W53)</f>
        <v>0</v>
      </c>
      <c r="Y53" s="84"/>
    </row>
    <row r="54" spans="1:25" s="59" customFormat="1" x14ac:dyDescent="0.25">
      <c r="A54" s="422"/>
      <c r="B54" s="287"/>
      <c r="C54" s="97"/>
      <c r="D54" s="98"/>
      <c r="E54" s="99"/>
      <c r="F54" s="659">
        <v>2</v>
      </c>
      <c r="G54" s="660"/>
      <c r="H54" s="661"/>
      <c r="I54" s="662">
        <f>IF('Enter Results'!K83=0,'Enter Results'!H83,0)</f>
        <v>0</v>
      </c>
      <c r="J54" s="663"/>
      <c r="K54" s="663"/>
      <c r="L54" s="658">
        <f>IF('Enter Results'!K84=0,'Enter Results'!H84,0)</f>
        <v>0</v>
      </c>
      <c r="M54" s="636"/>
      <c r="N54" s="623"/>
      <c r="O54" s="658">
        <f>IF('Enter Results'!K85=0,'Enter Results'!H85,0)</f>
        <v>0</v>
      </c>
      <c r="P54" s="623"/>
      <c r="Q54" s="635">
        <f>IF('Enter Results'!K86=0,'Enter Results'!H86,0)</f>
        <v>0</v>
      </c>
      <c r="R54" s="663"/>
      <c r="S54" s="669"/>
      <c r="T54" s="635">
        <f>IF('Enter Results'!K87=0,'Enter Results'!H87,0)</f>
        <v>0</v>
      </c>
      <c r="U54" s="636"/>
      <c r="V54" s="623"/>
      <c r="W54" s="90">
        <f>IF('Enter Results'!K88=0,'Enter Results'!H88,0)</f>
        <v>0</v>
      </c>
      <c r="X54" s="144">
        <f>SUM(I54:W54)</f>
        <v>0</v>
      </c>
      <c r="Y54" s="84"/>
    </row>
    <row r="55" spans="1:25" s="59" customFormat="1" x14ac:dyDescent="0.25">
      <c r="A55" s="422"/>
      <c r="B55" s="287"/>
      <c r="C55" s="101"/>
      <c r="D55" s="98"/>
      <c r="E55" s="99"/>
      <c r="F55" s="659">
        <v>3</v>
      </c>
      <c r="G55" s="660"/>
      <c r="H55" s="661"/>
      <c r="I55" s="662">
        <f>IF('Enter Results'!K83=0,'Enter Results'!I83,0)</f>
        <v>0</v>
      </c>
      <c r="J55" s="663"/>
      <c r="K55" s="663"/>
      <c r="L55" s="658">
        <f>IF('Enter Results'!K84=0,'Enter Results'!I84,0)</f>
        <v>0</v>
      </c>
      <c r="M55" s="636"/>
      <c r="N55" s="623"/>
      <c r="O55" s="658">
        <f>IF('Enter Results'!K85=0,'Enter Results'!I85,0)</f>
        <v>0</v>
      </c>
      <c r="P55" s="623"/>
      <c r="Q55" s="635">
        <f>IF('Enter Results'!K86=0,'Enter Results'!I86,0)</f>
        <v>0</v>
      </c>
      <c r="R55" s="663"/>
      <c r="S55" s="669"/>
      <c r="T55" s="635">
        <f>IF('Enter Results'!K87=0,'Enter Results'!I87,0)</f>
        <v>0</v>
      </c>
      <c r="U55" s="636"/>
      <c r="V55" s="623"/>
      <c r="W55" s="90">
        <f>IF('Enter Results'!K88=0,'Enter Results'!I88,0)</f>
        <v>0</v>
      </c>
      <c r="X55" s="144">
        <f>SUM(I55:W55)</f>
        <v>0</v>
      </c>
      <c r="Y55" s="84"/>
    </row>
    <row r="56" spans="1:25" s="59" customFormat="1" x14ac:dyDescent="0.25">
      <c r="A56" s="422"/>
      <c r="B56" s="287"/>
      <c r="C56" s="97"/>
      <c r="D56" s="98"/>
      <c r="E56" s="99"/>
      <c r="F56" s="659">
        <v>4</v>
      </c>
      <c r="G56" s="660"/>
      <c r="H56" s="661"/>
      <c r="I56" s="662">
        <f>IF('Enter Results'!K83=0,'Enter Results'!J83,0)</f>
        <v>0</v>
      </c>
      <c r="J56" s="663"/>
      <c r="K56" s="663"/>
      <c r="L56" s="658">
        <f>IF('Enter Results'!K84=0,'Enter Results'!J84,0)</f>
        <v>0</v>
      </c>
      <c r="M56" s="636"/>
      <c r="N56" s="623"/>
      <c r="O56" s="658">
        <f>IF('Enter Results'!K85=0,'Enter Results'!J85,0)</f>
        <v>0</v>
      </c>
      <c r="P56" s="623"/>
      <c r="Q56" s="635">
        <f>IF('Enter Results'!K86=0,'Enter Results'!J86,0)</f>
        <v>0</v>
      </c>
      <c r="R56" s="663"/>
      <c r="S56" s="669"/>
      <c r="T56" s="635">
        <f>IF('Enter Results'!K87=0,'Enter Results'!J87,0)</f>
        <v>0</v>
      </c>
      <c r="U56" s="636"/>
      <c r="V56" s="623"/>
      <c r="W56" s="90">
        <f>IF('Enter Results'!K88=0,'Enter Results'!J88,0)</f>
        <v>0</v>
      </c>
      <c r="X56" s="144">
        <f>SUM(I56:W56)</f>
        <v>0</v>
      </c>
      <c r="Y56" s="84"/>
    </row>
    <row r="57" spans="1:25" s="59" customFormat="1" x14ac:dyDescent="0.25">
      <c r="A57" s="422"/>
      <c r="B57" s="287"/>
      <c r="C57" s="102" t="s">
        <v>68</v>
      </c>
      <c r="D57" s="103"/>
      <c r="E57" s="103"/>
      <c r="F57" s="104"/>
      <c r="G57" s="104"/>
      <c r="H57" s="105"/>
      <c r="I57" s="667">
        <f>(I53*1)+(I54*2)+(I55*3)+(I56*4)</f>
        <v>0</v>
      </c>
      <c r="J57" s="668"/>
      <c r="K57" s="668"/>
      <c r="L57" s="693">
        <f>(L53*1)+(L54*2)+(L55*3)+(L56*4)</f>
        <v>0</v>
      </c>
      <c r="M57" s="636"/>
      <c r="N57" s="623"/>
      <c r="O57" s="693">
        <f>(O53*1)+(O54*2)+(O55*3)+(O56*4)</f>
        <v>0</v>
      </c>
      <c r="P57" s="623"/>
      <c r="Q57" s="677">
        <f>(Q53*1)+(Q54*2)+(Q55*3)+(Q56*4)</f>
        <v>0</v>
      </c>
      <c r="R57" s="668"/>
      <c r="S57" s="678"/>
      <c r="T57" s="771">
        <f>(T53*1)+(T54*2)+(T55*3)+(T56*4)</f>
        <v>0</v>
      </c>
      <c r="U57" s="636"/>
      <c r="V57" s="623"/>
      <c r="W57" s="106">
        <f>(W53*1)+(W54*2)+(W55*3)+(W56*4)</f>
        <v>0</v>
      </c>
      <c r="X57" s="146">
        <f>SUM(I57:W57)</f>
        <v>0</v>
      </c>
      <c r="Y57" s="84"/>
    </row>
    <row r="58" spans="1:25" s="98" customFormat="1" ht="15.75" thickBot="1" x14ac:dyDescent="0.3">
      <c r="A58" s="423"/>
      <c r="C58" s="107" t="s">
        <v>69</v>
      </c>
      <c r="D58" s="108"/>
      <c r="E58" s="108"/>
      <c r="F58" s="109"/>
      <c r="G58" s="109"/>
      <c r="H58" s="110"/>
      <c r="I58" s="673">
        <f>ROUND(I57/PointsManagement,2)</f>
        <v>0</v>
      </c>
      <c r="J58" s="674"/>
      <c r="K58" s="675"/>
      <c r="L58" s="679">
        <f>ROUND(L57/PointsFinance,2)</f>
        <v>0</v>
      </c>
      <c r="M58" s="684"/>
      <c r="N58" s="680"/>
      <c r="O58" s="679">
        <f>ROUND(O57/PointsSales,2)</f>
        <v>0</v>
      </c>
      <c r="P58" s="680"/>
      <c r="Q58" s="675">
        <f>ROUND(Q57/PointsOperations,2)</f>
        <v>0</v>
      </c>
      <c r="R58" s="675"/>
      <c r="S58" s="676">
        <f>ROUND(S57/PointsSales,2)</f>
        <v>0</v>
      </c>
      <c r="T58" s="679">
        <f>ROUND(T57/PointsWarehouse,2)</f>
        <v>0</v>
      </c>
      <c r="U58" s="684"/>
      <c r="V58" s="680"/>
      <c r="W58" s="235">
        <f>ROUND(W57/PointsRiskManagement,2)</f>
        <v>0</v>
      </c>
      <c r="X58" s="111">
        <f>ROUND(X57/PointsTotal,2)</f>
        <v>0</v>
      </c>
      <c r="Y58" s="84"/>
    </row>
    <row r="59" spans="1:25" s="98" customFormat="1" ht="2.25" customHeight="1" thickTop="1" x14ac:dyDescent="0.25">
      <c r="A59" s="423"/>
      <c r="C59" s="355"/>
      <c r="D59" s="356"/>
      <c r="E59" s="356"/>
      <c r="F59" s="357"/>
      <c r="G59" s="357"/>
      <c r="H59" s="358"/>
      <c r="I59" s="694"/>
      <c r="J59" s="695"/>
      <c r="K59" s="695"/>
      <c r="L59" s="692"/>
      <c r="M59" s="665"/>
      <c r="N59" s="666"/>
      <c r="O59" s="692"/>
      <c r="P59" s="666"/>
      <c r="Q59" s="664"/>
      <c r="R59" s="695"/>
      <c r="S59" s="795"/>
      <c r="T59" s="664"/>
      <c r="U59" s="665"/>
      <c r="V59" s="666"/>
      <c r="W59" s="359"/>
      <c r="X59" s="360"/>
      <c r="Y59" s="84"/>
    </row>
    <row r="60" spans="1:25" s="59" customFormat="1" ht="15" customHeight="1" x14ac:dyDescent="0.25">
      <c r="A60" s="422"/>
      <c r="B60" s="287"/>
      <c r="C60" s="696" t="str">
        <f>Name7</f>
        <v>7</v>
      </c>
      <c r="D60" s="697"/>
      <c r="E60" s="698"/>
      <c r="F60" s="699">
        <v>1</v>
      </c>
      <c r="G60" s="700"/>
      <c r="H60" s="701"/>
      <c r="I60" s="702">
        <f>IF('Enter Results'!K95=0,'Enter Results'!G95,0)</f>
        <v>0</v>
      </c>
      <c r="J60" s="703"/>
      <c r="K60" s="703"/>
      <c r="L60" s="796">
        <f>IF('Enter Results'!K96=0,'Enter Results'!G96,0)</f>
        <v>0</v>
      </c>
      <c r="M60" s="793"/>
      <c r="N60" s="794"/>
      <c r="O60" s="796">
        <f>IF('Enter Results'!K97=0,'Enter Results'!G97,0)</f>
        <v>0</v>
      </c>
      <c r="P60" s="794"/>
      <c r="Q60" s="792">
        <f>IF('Enter Results'!K98=0,'Enter Results'!G98,0)</f>
        <v>0</v>
      </c>
      <c r="R60" s="703"/>
      <c r="S60" s="797"/>
      <c r="T60" s="792">
        <f>IF('Enter Results'!K99=0,'Enter Results'!G99,0)</f>
        <v>0</v>
      </c>
      <c r="U60" s="793"/>
      <c r="V60" s="794"/>
      <c r="W60" s="361">
        <f>IF('Enter Results'!K100=0,'Enter Results'!G100,0)</f>
        <v>0</v>
      </c>
      <c r="X60" s="362">
        <f>SUM(I60:W60)</f>
        <v>0</v>
      </c>
      <c r="Y60" s="84"/>
    </row>
    <row r="61" spans="1:25" s="59" customFormat="1" x14ac:dyDescent="0.25">
      <c r="A61" s="422"/>
      <c r="B61" s="287"/>
      <c r="C61" s="97"/>
      <c r="D61" s="98"/>
      <c r="E61" s="99"/>
      <c r="F61" s="659">
        <v>2</v>
      </c>
      <c r="G61" s="660"/>
      <c r="H61" s="661"/>
      <c r="I61" s="662">
        <f>IF('Enter Results'!K95=0,'Enter Results'!H95,0)</f>
        <v>0</v>
      </c>
      <c r="J61" s="663"/>
      <c r="K61" s="663"/>
      <c r="L61" s="658">
        <f>IF('Enter Results'!K96=0,'Enter Results'!H96,0)</f>
        <v>0</v>
      </c>
      <c r="M61" s="636"/>
      <c r="N61" s="623"/>
      <c r="O61" s="658">
        <f>IF('Enter Results'!K97=0,'Enter Results'!H97,0)</f>
        <v>0</v>
      </c>
      <c r="P61" s="623"/>
      <c r="Q61" s="635">
        <f>IF('Enter Results'!K98=0,'Enter Results'!H98,0)</f>
        <v>0</v>
      </c>
      <c r="R61" s="663"/>
      <c r="S61" s="669"/>
      <c r="T61" s="635">
        <f>IF('Enter Results'!K99=0,'Enter Results'!H99,0)</f>
        <v>0</v>
      </c>
      <c r="U61" s="636"/>
      <c r="V61" s="623"/>
      <c r="W61" s="90">
        <f>IF('Enter Results'!K100=0,'Enter Results'!H100,0)</f>
        <v>0</v>
      </c>
      <c r="X61" s="144">
        <f>SUM(I61:W61)</f>
        <v>0</v>
      </c>
      <c r="Y61" s="84"/>
    </row>
    <row r="62" spans="1:25" s="59" customFormat="1" x14ac:dyDescent="0.25">
      <c r="A62" s="422"/>
      <c r="B62" s="287"/>
      <c r="C62" s="101"/>
      <c r="D62" s="98"/>
      <c r="E62" s="99"/>
      <c r="F62" s="659">
        <v>3</v>
      </c>
      <c r="G62" s="660"/>
      <c r="H62" s="661"/>
      <c r="I62" s="662">
        <f>IF('Enter Results'!K95=0,'Enter Results'!I95,0)</f>
        <v>0</v>
      </c>
      <c r="J62" s="663"/>
      <c r="K62" s="663"/>
      <c r="L62" s="658">
        <f>IF('Enter Results'!K96=0,'Enter Results'!I96,0)</f>
        <v>0</v>
      </c>
      <c r="M62" s="636"/>
      <c r="N62" s="623"/>
      <c r="O62" s="658">
        <f>IF('Enter Results'!K97=0,'Enter Results'!I97,0)</f>
        <v>0</v>
      </c>
      <c r="P62" s="623"/>
      <c r="Q62" s="635">
        <f>IF('Enter Results'!K98=0,'Enter Results'!I98,0)</f>
        <v>0</v>
      </c>
      <c r="R62" s="663"/>
      <c r="S62" s="669"/>
      <c r="T62" s="635">
        <f>IF('Enter Results'!K99=0,'Enter Results'!I99,0)</f>
        <v>0</v>
      </c>
      <c r="U62" s="636"/>
      <c r="V62" s="623"/>
      <c r="W62" s="90">
        <f>IF('Enter Results'!K100=0,'Enter Results'!I100,0)</f>
        <v>0</v>
      </c>
      <c r="X62" s="144">
        <f>SUM(I62:W62)</f>
        <v>0</v>
      </c>
      <c r="Y62" s="84"/>
    </row>
    <row r="63" spans="1:25" s="59" customFormat="1" x14ac:dyDescent="0.25">
      <c r="A63" s="422"/>
      <c r="B63" s="287"/>
      <c r="C63" s="97"/>
      <c r="D63" s="98"/>
      <c r="E63" s="99"/>
      <c r="F63" s="659">
        <v>4</v>
      </c>
      <c r="G63" s="660"/>
      <c r="H63" s="661"/>
      <c r="I63" s="662">
        <f>IF('Enter Results'!K95=0,'Enter Results'!J95,0)</f>
        <v>0</v>
      </c>
      <c r="J63" s="663"/>
      <c r="K63" s="663"/>
      <c r="L63" s="658">
        <f>IF('Enter Results'!K96=0,'Enter Results'!J96,0)</f>
        <v>0</v>
      </c>
      <c r="M63" s="636"/>
      <c r="N63" s="623"/>
      <c r="O63" s="658">
        <f>IF('Enter Results'!K97=0,'Enter Results'!J97,0)</f>
        <v>0</v>
      </c>
      <c r="P63" s="623"/>
      <c r="Q63" s="635">
        <f>IF('Enter Results'!K98=0,'Enter Results'!J98,0)</f>
        <v>0</v>
      </c>
      <c r="R63" s="663"/>
      <c r="S63" s="669"/>
      <c r="T63" s="635">
        <f>IF('Enter Results'!K99=0,'Enter Results'!J99,0)</f>
        <v>0</v>
      </c>
      <c r="U63" s="636"/>
      <c r="V63" s="623"/>
      <c r="W63" s="90">
        <f>IF('Enter Results'!K100=0,'Enter Results'!J100,0)</f>
        <v>0</v>
      </c>
      <c r="X63" s="144">
        <f>SUM(I63:W63)</f>
        <v>0</v>
      </c>
      <c r="Y63" s="84"/>
    </row>
    <row r="64" spans="1:25" s="59" customFormat="1" x14ac:dyDescent="0.25">
      <c r="A64" s="422"/>
      <c r="B64" s="287"/>
      <c r="C64" s="102" t="s">
        <v>68</v>
      </c>
      <c r="D64" s="103"/>
      <c r="E64" s="103"/>
      <c r="F64" s="104"/>
      <c r="G64" s="104"/>
      <c r="H64" s="105"/>
      <c r="I64" s="667">
        <f>(I60*1)+(I61*2)+(I62*3)+(I63*4)</f>
        <v>0</v>
      </c>
      <c r="J64" s="668"/>
      <c r="K64" s="668"/>
      <c r="L64" s="693">
        <f>(L60*1)+(L61*2)+(L62*3)+(L63*4)</f>
        <v>0</v>
      </c>
      <c r="M64" s="636"/>
      <c r="N64" s="623"/>
      <c r="O64" s="693">
        <f>(O60*1)+(O61*2)+(O62*3)+(O63*4)</f>
        <v>0</v>
      </c>
      <c r="P64" s="623"/>
      <c r="Q64" s="677">
        <f>(Q60*1)+(Q61*2)+(Q62*3)+(Q63*4)</f>
        <v>0</v>
      </c>
      <c r="R64" s="668"/>
      <c r="S64" s="678"/>
      <c r="T64" s="771">
        <f>(T60*1)+(T61*2)+(T62*3)+(T63*4)</f>
        <v>0</v>
      </c>
      <c r="U64" s="636"/>
      <c r="V64" s="623"/>
      <c r="W64" s="106">
        <f>(W60*1)+(W61*2)+(W62*3)+(W63*4)</f>
        <v>0</v>
      </c>
      <c r="X64" s="146">
        <f>SUM(I64:W64)</f>
        <v>0</v>
      </c>
      <c r="Y64" s="84"/>
    </row>
    <row r="65" spans="1:25" s="98" customFormat="1" ht="15.75" thickBot="1" x14ac:dyDescent="0.3">
      <c r="A65" s="423"/>
      <c r="C65" s="107" t="s">
        <v>69</v>
      </c>
      <c r="D65" s="108"/>
      <c r="E65" s="108"/>
      <c r="F65" s="109"/>
      <c r="G65" s="109"/>
      <c r="H65" s="110"/>
      <c r="I65" s="673">
        <f>ROUND(I64/PointsManagement,2)</f>
        <v>0</v>
      </c>
      <c r="J65" s="674"/>
      <c r="K65" s="675"/>
      <c r="L65" s="679">
        <f>ROUND(L64/PointsFinance,2)</f>
        <v>0</v>
      </c>
      <c r="M65" s="684"/>
      <c r="N65" s="680"/>
      <c r="O65" s="679">
        <f>ROUND(O64/PointsSales,2)</f>
        <v>0</v>
      </c>
      <c r="P65" s="680"/>
      <c r="Q65" s="675">
        <f>ROUND(Q64/PointsOperations,2)</f>
        <v>0</v>
      </c>
      <c r="R65" s="675"/>
      <c r="S65" s="676">
        <f>ROUND(S64/PointsSales,2)</f>
        <v>0</v>
      </c>
      <c r="T65" s="679">
        <f>ROUND(T64/PointsWarehouse,2)</f>
        <v>0</v>
      </c>
      <c r="U65" s="684"/>
      <c r="V65" s="680"/>
      <c r="W65" s="235">
        <f>ROUND(W64/PointsRiskManagement,2)</f>
        <v>0</v>
      </c>
      <c r="X65" s="111">
        <f>ROUND(X64/PointsTotal,2)</f>
        <v>0</v>
      </c>
      <c r="Y65" s="84"/>
    </row>
    <row r="66" spans="1:25" s="59" customFormat="1" ht="15" customHeight="1" thickTop="1" x14ac:dyDescent="0.25">
      <c r="A66" s="422"/>
      <c r="B66" s="287"/>
      <c r="C66" s="685" t="str">
        <f>Name8</f>
        <v>8</v>
      </c>
      <c r="D66" s="686"/>
      <c r="E66" s="687"/>
      <c r="F66" s="688">
        <v>1</v>
      </c>
      <c r="G66" s="689"/>
      <c r="H66" s="690"/>
      <c r="I66" s="691">
        <f>IF('Enter Results'!K107=0,'Enter Results'!G107,0)</f>
        <v>0</v>
      </c>
      <c r="J66" s="682"/>
      <c r="K66" s="682"/>
      <c r="L66" s="670">
        <f>IF('Enter Results'!K108=0,'Enter Results'!G108,0)</f>
        <v>0</v>
      </c>
      <c r="M66" s="671"/>
      <c r="N66" s="672"/>
      <c r="O66" s="670">
        <f>IF('Enter Results'!K109=0,'Enter Results'!G109,0)</f>
        <v>0</v>
      </c>
      <c r="P66" s="672"/>
      <c r="Q66" s="681">
        <f>IF('Enter Results'!K110=0,'Enter Results'!G110,0)</f>
        <v>0</v>
      </c>
      <c r="R66" s="682"/>
      <c r="S66" s="683"/>
      <c r="T66" s="681">
        <f>IF('Enter Results'!K111=0,'Enter Results'!G111,0)</f>
        <v>0</v>
      </c>
      <c r="U66" s="671"/>
      <c r="V66" s="672"/>
      <c r="W66" s="96">
        <f>IF('Enter Results'!K112=0,'Enter Results'!G112,0)</f>
        <v>0</v>
      </c>
      <c r="X66" s="145">
        <f>SUM(I66:W66)</f>
        <v>0</v>
      </c>
      <c r="Y66" s="84"/>
    </row>
    <row r="67" spans="1:25" s="59" customFormat="1" x14ac:dyDescent="0.25">
      <c r="A67" s="422"/>
      <c r="B67" s="287"/>
      <c r="C67" s="97"/>
      <c r="D67" s="98"/>
      <c r="E67" s="99"/>
      <c r="F67" s="659">
        <v>2</v>
      </c>
      <c r="G67" s="660"/>
      <c r="H67" s="661"/>
      <c r="I67" s="662">
        <f>IF('Enter Results'!K107=0,'Enter Results'!H107,0)</f>
        <v>0</v>
      </c>
      <c r="J67" s="663"/>
      <c r="K67" s="663"/>
      <c r="L67" s="658">
        <f>IF('Enter Results'!K108=0,'Enter Results'!H108,0)</f>
        <v>0</v>
      </c>
      <c r="M67" s="636"/>
      <c r="N67" s="623"/>
      <c r="O67" s="658">
        <f>IF('Enter Results'!K109=0,'Enter Results'!H109,0)</f>
        <v>0</v>
      </c>
      <c r="P67" s="623"/>
      <c r="Q67" s="635">
        <f>IF('Enter Results'!K110=0,'Enter Results'!H110,0)</f>
        <v>0</v>
      </c>
      <c r="R67" s="663"/>
      <c r="S67" s="669"/>
      <c r="T67" s="635">
        <f>IF('Enter Results'!K111=0,'Enter Results'!H111,0)</f>
        <v>0</v>
      </c>
      <c r="U67" s="636"/>
      <c r="V67" s="623"/>
      <c r="W67" s="90">
        <f>IF('Enter Results'!K112=0,'Enter Results'!H112,0)</f>
        <v>0</v>
      </c>
      <c r="X67" s="144">
        <f>SUM(I67:W67)</f>
        <v>0</v>
      </c>
      <c r="Y67" s="84"/>
    </row>
    <row r="68" spans="1:25" s="59" customFormat="1" x14ac:dyDescent="0.25">
      <c r="A68" s="422"/>
      <c r="B68" s="287"/>
      <c r="C68" s="101"/>
      <c r="D68" s="98"/>
      <c r="E68" s="99"/>
      <c r="F68" s="659">
        <v>3</v>
      </c>
      <c r="G68" s="660"/>
      <c r="H68" s="661"/>
      <c r="I68" s="662">
        <f>IF('Enter Results'!K107=0,'Enter Results'!I107,0)</f>
        <v>0</v>
      </c>
      <c r="J68" s="663"/>
      <c r="K68" s="663"/>
      <c r="L68" s="658">
        <f>IF('Enter Results'!K108=0,'Enter Results'!I108,0)</f>
        <v>0</v>
      </c>
      <c r="M68" s="636"/>
      <c r="N68" s="623"/>
      <c r="O68" s="658">
        <f>IF('Enter Results'!K109=0,'Enter Results'!I109,0)</f>
        <v>0</v>
      </c>
      <c r="P68" s="623"/>
      <c r="Q68" s="635">
        <f>IF('Enter Results'!K110=0,'Enter Results'!I110,0)</f>
        <v>0</v>
      </c>
      <c r="R68" s="663"/>
      <c r="S68" s="669"/>
      <c r="T68" s="635">
        <f>IF('Enter Results'!K111=0,'Enter Results'!I111,0)</f>
        <v>0</v>
      </c>
      <c r="U68" s="636"/>
      <c r="V68" s="623"/>
      <c r="W68" s="90">
        <f>IF('Enter Results'!K112=0,'Enter Results'!I112,0)</f>
        <v>0</v>
      </c>
      <c r="X68" s="144">
        <f>SUM(I68:W68)</f>
        <v>0</v>
      </c>
      <c r="Y68" s="84"/>
    </row>
    <row r="69" spans="1:25" s="59" customFormat="1" x14ac:dyDescent="0.25">
      <c r="A69" s="422"/>
      <c r="B69" s="287"/>
      <c r="C69" s="97"/>
      <c r="D69" s="98"/>
      <c r="E69" s="99"/>
      <c r="F69" s="659">
        <v>4</v>
      </c>
      <c r="G69" s="660"/>
      <c r="H69" s="661"/>
      <c r="I69" s="662">
        <f>IF('Enter Results'!K107=0,'Enter Results'!J107,0)</f>
        <v>0</v>
      </c>
      <c r="J69" s="663"/>
      <c r="K69" s="663"/>
      <c r="L69" s="658">
        <f>IF('Enter Results'!K108=0,'Enter Results'!J108,0)</f>
        <v>0</v>
      </c>
      <c r="M69" s="636"/>
      <c r="N69" s="623"/>
      <c r="O69" s="658">
        <f>IF('Enter Results'!K109=0,'Enter Results'!J109,0)</f>
        <v>0</v>
      </c>
      <c r="P69" s="623"/>
      <c r="Q69" s="635">
        <f>IF('Enter Results'!K110=0,'Enter Results'!J110,0)</f>
        <v>0</v>
      </c>
      <c r="R69" s="663"/>
      <c r="S69" s="669"/>
      <c r="T69" s="635">
        <f>IF('Enter Results'!K111=0,'Enter Results'!J111,0)</f>
        <v>0</v>
      </c>
      <c r="U69" s="636"/>
      <c r="V69" s="623"/>
      <c r="W69" s="90">
        <f>IF('Enter Results'!K112=0,'Enter Results'!J112,0)</f>
        <v>0</v>
      </c>
      <c r="X69" s="144">
        <f>SUM(I69:W69)</f>
        <v>0</v>
      </c>
      <c r="Y69" s="84"/>
    </row>
    <row r="70" spans="1:25" s="59" customFormat="1" x14ac:dyDescent="0.25">
      <c r="A70" s="422"/>
      <c r="B70" s="287"/>
      <c r="C70" s="102" t="s">
        <v>68</v>
      </c>
      <c r="D70" s="103"/>
      <c r="E70" s="103"/>
      <c r="F70" s="104"/>
      <c r="G70" s="104"/>
      <c r="H70" s="105"/>
      <c r="I70" s="667">
        <f>(I66*1)+(I67*2)+(I68*3)+(I69*4)</f>
        <v>0</v>
      </c>
      <c r="J70" s="668"/>
      <c r="K70" s="668"/>
      <c r="L70" s="693">
        <f>(L66*1)+(L67*2)+(L68*3)+(L69*4)</f>
        <v>0</v>
      </c>
      <c r="M70" s="636"/>
      <c r="N70" s="623"/>
      <c r="O70" s="693">
        <f>(O66*1)+(O67*2)+(O68*3)+(O69*4)</f>
        <v>0</v>
      </c>
      <c r="P70" s="623"/>
      <c r="Q70" s="677">
        <f>(Q66*1)+(Q67*2)+(Q68*3)+(Q69*4)</f>
        <v>0</v>
      </c>
      <c r="R70" s="668"/>
      <c r="S70" s="678"/>
      <c r="T70" s="771">
        <f>(T66*1)+(T67*2)+(T68*3)+(T69*4)</f>
        <v>0</v>
      </c>
      <c r="U70" s="636"/>
      <c r="V70" s="623"/>
      <c r="W70" s="106">
        <f>(W66*1)+(W67*2)+(W68*3)+(W69*4)</f>
        <v>0</v>
      </c>
      <c r="X70" s="146">
        <f>SUM(I70:W70)</f>
        <v>0</v>
      </c>
      <c r="Y70" s="84"/>
    </row>
    <row r="71" spans="1:25" s="98" customFormat="1" ht="15.75" thickBot="1" x14ac:dyDescent="0.3">
      <c r="A71" s="423"/>
      <c r="C71" s="107" t="s">
        <v>69</v>
      </c>
      <c r="D71" s="108"/>
      <c r="E71" s="108"/>
      <c r="F71" s="109"/>
      <c r="G71" s="109"/>
      <c r="H71" s="110"/>
      <c r="I71" s="673">
        <f>ROUND(I70/PointsManagement,2)</f>
        <v>0</v>
      </c>
      <c r="J71" s="674"/>
      <c r="K71" s="675"/>
      <c r="L71" s="679">
        <f>ROUND(L70/PointsFinance,2)</f>
        <v>0</v>
      </c>
      <c r="M71" s="684"/>
      <c r="N71" s="680"/>
      <c r="O71" s="679">
        <f>ROUND(O70/PointsSales,2)</f>
        <v>0</v>
      </c>
      <c r="P71" s="680"/>
      <c r="Q71" s="675">
        <f>ROUND(Q70/PointsOperations,2)</f>
        <v>0</v>
      </c>
      <c r="R71" s="675"/>
      <c r="S71" s="676">
        <f>ROUND(S70/PointsSales,2)</f>
        <v>0</v>
      </c>
      <c r="T71" s="679">
        <f>ROUND(T70/PointsWarehouse,2)</f>
        <v>0</v>
      </c>
      <c r="U71" s="684"/>
      <c r="V71" s="680"/>
      <c r="W71" s="235">
        <f>ROUND(W70/PointsRiskManagement,2)</f>
        <v>0</v>
      </c>
      <c r="X71" s="111">
        <f>ROUND(X70/PointsTotal,2)</f>
        <v>0</v>
      </c>
      <c r="Y71" s="84"/>
    </row>
    <row r="72" spans="1:25" s="59" customFormat="1" ht="15" customHeight="1" thickTop="1" x14ac:dyDescent="0.25">
      <c r="A72" s="422"/>
      <c r="B72" s="287"/>
      <c r="C72" s="685" t="str">
        <f>Name9</f>
        <v>9</v>
      </c>
      <c r="D72" s="686"/>
      <c r="E72" s="687"/>
      <c r="F72" s="688">
        <v>1</v>
      </c>
      <c r="G72" s="689"/>
      <c r="H72" s="690"/>
      <c r="I72" s="691">
        <f>IF('Enter Results'!K119=0,'Enter Results'!G119,0)</f>
        <v>0</v>
      </c>
      <c r="J72" s="682"/>
      <c r="K72" s="682"/>
      <c r="L72" s="670">
        <f>IF('Enter Results'!K120=0,'Enter Results'!G120,0)</f>
        <v>0</v>
      </c>
      <c r="M72" s="671"/>
      <c r="N72" s="672"/>
      <c r="O72" s="670">
        <f>IF('Enter Results'!K121=0,'Enter Results'!G121,0)</f>
        <v>0</v>
      </c>
      <c r="P72" s="672"/>
      <c r="Q72" s="681">
        <f>IF('Enter Results'!K122=0,'Enter Results'!G122,0)</f>
        <v>0</v>
      </c>
      <c r="R72" s="682"/>
      <c r="S72" s="683"/>
      <c r="T72" s="681">
        <f>IF('Enter Results'!K123=0,'Enter Results'!G123,0)</f>
        <v>0</v>
      </c>
      <c r="U72" s="671"/>
      <c r="V72" s="672"/>
      <c r="W72" s="96">
        <f>IF('Enter Results'!K124=0,'Enter Results'!G124,0)</f>
        <v>0</v>
      </c>
      <c r="X72" s="145">
        <f>SUM(I72:W72)</f>
        <v>0</v>
      </c>
      <c r="Y72" s="84"/>
    </row>
    <row r="73" spans="1:25" s="59" customFormat="1" x14ac:dyDescent="0.25">
      <c r="A73" s="422"/>
      <c r="B73" s="287"/>
      <c r="C73" s="97"/>
      <c r="D73" s="98"/>
      <c r="E73" s="99"/>
      <c r="F73" s="659">
        <v>2</v>
      </c>
      <c r="G73" s="660"/>
      <c r="H73" s="661"/>
      <c r="I73" s="662">
        <f>IF('Enter Results'!K119=0,'Enter Results'!H119,0)</f>
        <v>0</v>
      </c>
      <c r="J73" s="663"/>
      <c r="K73" s="663"/>
      <c r="L73" s="658">
        <f>IF('Enter Results'!K120=0,'Enter Results'!H120,0)</f>
        <v>0</v>
      </c>
      <c r="M73" s="636"/>
      <c r="N73" s="623"/>
      <c r="O73" s="658">
        <f>IF('Enter Results'!K121=0,'Enter Results'!H121,0)</f>
        <v>0</v>
      </c>
      <c r="P73" s="623"/>
      <c r="Q73" s="635">
        <f>IF('Enter Results'!K122=0,'Enter Results'!H122,0)</f>
        <v>0</v>
      </c>
      <c r="R73" s="663"/>
      <c r="S73" s="669"/>
      <c r="T73" s="635">
        <f>IF('Enter Results'!K123=0,'Enter Results'!H123,0)</f>
        <v>0</v>
      </c>
      <c r="U73" s="636"/>
      <c r="V73" s="623"/>
      <c r="W73" s="90">
        <f>IF('Enter Results'!K124=0,'Enter Results'!H124,0)</f>
        <v>0</v>
      </c>
      <c r="X73" s="144">
        <f>SUM(I73:W73)</f>
        <v>0</v>
      </c>
      <c r="Y73" s="84"/>
    </row>
    <row r="74" spans="1:25" s="59" customFormat="1" x14ac:dyDescent="0.25">
      <c r="A74" s="422"/>
      <c r="B74" s="287"/>
      <c r="C74" s="101"/>
      <c r="D74" s="98"/>
      <c r="E74" s="99"/>
      <c r="F74" s="659">
        <v>3</v>
      </c>
      <c r="G74" s="660"/>
      <c r="H74" s="661"/>
      <c r="I74" s="662">
        <f>IF('Enter Results'!K119=0,'Enter Results'!I119,0)</f>
        <v>0</v>
      </c>
      <c r="J74" s="663"/>
      <c r="K74" s="663"/>
      <c r="L74" s="658">
        <f>IF('Enter Results'!K120=0,'Enter Results'!I120,0)</f>
        <v>0</v>
      </c>
      <c r="M74" s="636"/>
      <c r="N74" s="623"/>
      <c r="O74" s="658">
        <f>IF('Enter Results'!K121=0,'Enter Results'!I121,0)</f>
        <v>0</v>
      </c>
      <c r="P74" s="623"/>
      <c r="Q74" s="635">
        <f>IF('Enter Results'!K122=0,'Enter Results'!I122,0)</f>
        <v>0</v>
      </c>
      <c r="R74" s="663"/>
      <c r="S74" s="669"/>
      <c r="T74" s="635">
        <f>IF('Enter Results'!K123=0,'Enter Results'!I123,0)</f>
        <v>0</v>
      </c>
      <c r="U74" s="636"/>
      <c r="V74" s="623"/>
      <c r="W74" s="90">
        <f>IF('Enter Results'!K124=0,'Enter Results'!I124,0)</f>
        <v>0</v>
      </c>
      <c r="X74" s="144">
        <f>SUM(I74:W74)</f>
        <v>0</v>
      </c>
      <c r="Y74" s="84"/>
    </row>
    <row r="75" spans="1:25" s="59" customFormat="1" x14ac:dyDescent="0.25">
      <c r="A75" s="422"/>
      <c r="B75" s="287"/>
      <c r="C75" s="97"/>
      <c r="D75" s="98"/>
      <c r="E75" s="99"/>
      <c r="F75" s="659">
        <v>4</v>
      </c>
      <c r="G75" s="660"/>
      <c r="H75" s="661"/>
      <c r="I75" s="662">
        <f>IF('Enter Results'!K119=0,'Enter Results'!J119,0)</f>
        <v>0</v>
      </c>
      <c r="J75" s="663"/>
      <c r="K75" s="663"/>
      <c r="L75" s="658">
        <f>IF('Enter Results'!K120=0,'Enter Results'!J120,0)</f>
        <v>0</v>
      </c>
      <c r="M75" s="636"/>
      <c r="N75" s="623"/>
      <c r="O75" s="658">
        <f>IF('Enter Results'!K121=0,'Enter Results'!J121,0)</f>
        <v>0</v>
      </c>
      <c r="P75" s="623"/>
      <c r="Q75" s="635">
        <f>IF('Enter Results'!K122=0,'Enter Results'!J122,0)</f>
        <v>0</v>
      </c>
      <c r="R75" s="663"/>
      <c r="S75" s="669"/>
      <c r="T75" s="635">
        <f>IF('Enter Results'!K123=0,'Enter Results'!J123,0)</f>
        <v>0</v>
      </c>
      <c r="U75" s="636"/>
      <c r="V75" s="623"/>
      <c r="W75" s="90">
        <f>IF('Enter Results'!K124=0,'Enter Results'!J124,0)</f>
        <v>0</v>
      </c>
      <c r="X75" s="144">
        <f>SUM(I75:W75)</f>
        <v>0</v>
      </c>
      <c r="Y75" s="84"/>
    </row>
    <row r="76" spans="1:25" s="59" customFormat="1" x14ac:dyDescent="0.25">
      <c r="A76" s="422"/>
      <c r="B76" s="287"/>
      <c r="C76" s="102" t="s">
        <v>68</v>
      </c>
      <c r="D76" s="103"/>
      <c r="E76" s="103"/>
      <c r="F76" s="104"/>
      <c r="G76" s="104"/>
      <c r="H76" s="105"/>
      <c r="I76" s="667">
        <f>(I72*1)+(I73*2)+(I74*3)+(I75*4)</f>
        <v>0</v>
      </c>
      <c r="J76" s="668"/>
      <c r="K76" s="668"/>
      <c r="L76" s="693">
        <f>(L72*1)+(L73*2)+(L74*3)+(L75*4)</f>
        <v>0</v>
      </c>
      <c r="M76" s="636"/>
      <c r="N76" s="623"/>
      <c r="O76" s="693">
        <f>(O72*1)+(O73*2)+(O74*3)+(O75*4)</f>
        <v>0</v>
      </c>
      <c r="P76" s="623"/>
      <c r="Q76" s="677">
        <f>(Q72*1)+(Q73*2)+(Q74*3)+(Q75*4)</f>
        <v>0</v>
      </c>
      <c r="R76" s="668"/>
      <c r="S76" s="678"/>
      <c r="T76" s="771">
        <f>(T72*1)+(T73*2)+(T74*3)+(T75*4)</f>
        <v>0</v>
      </c>
      <c r="U76" s="636"/>
      <c r="V76" s="623"/>
      <c r="W76" s="106">
        <f>(W72*1)+(W73*2)+(W74*3)+(W75*4)</f>
        <v>0</v>
      </c>
      <c r="X76" s="146">
        <f>SUM(I76:W76)</f>
        <v>0</v>
      </c>
      <c r="Y76" s="84"/>
    </row>
    <row r="77" spans="1:25" s="98" customFormat="1" ht="15.75" thickBot="1" x14ac:dyDescent="0.3">
      <c r="A77" s="423"/>
      <c r="C77" s="107" t="s">
        <v>69</v>
      </c>
      <c r="D77" s="108"/>
      <c r="E77" s="108"/>
      <c r="F77" s="109"/>
      <c r="G77" s="109"/>
      <c r="H77" s="110"/>
      <c r="I77" s="673">
        <f>ROUND(I76/PointsManagement,2)</f>
        <v>0</v>
      </c>
      <c r="J77" s="674"/>
      <c r="K77" s="675"/>
      <c r="L77" s="679">
        <f>ROUND(L76/PointsFinance,2)</f>
        <v>0</v>
      </c>
      <c r="M77" s="684"/>
      <c r="N77" s="680"/>
      <c r="O77" s="679">
        <f>ROUND(O76/PointsSales,2)</f>
        <v>0</v>
      </c>
      <c r="P77" s="680"/>
      <c r="Q77" s="675">
        <f>ROUND(Q76/PointsOperations,2)</f>
        <v>0</v>
      </c>
      <c r="R77" s="675"/>
      <c r="S77" s="676">
        <f>ROUND(S76/PointsSales,2)</f>
        <v>0</v>
      </c>
      <c r="T77" s="679">
        <f>ROUND(T76/PointsWarehouse,2)</f>
        <v>0</v>
      </c>
      <c r="U77" s="684"/>
      <c r="V77" s="680"/>
      <c r="W77" s="235">
        <f>ROUND(W76/PointsRiskManagement,2)</f>
        <v>0</v>
      </c>
      <c r="X77" s="111">
        <f>ROUND(X76/PointsTotal,2)</f>
        <v>0</v>
      </c>
      <c r="Y77" s="84"/>
    </row>
    <row r="78" spans="1:25" s="59" customFormat="1" ht="15" customHeight="1" thickTop="1" x14ac:dyDescent="0.25">
      <c r="A78" s="422"/>
      <c r="B78" s="287"/>
      <c r="C78" s="685" t="str">
        <f>Name10</f>
        <v>10</v>
      </c>
      <c r="D78" s="686"/>
      <c r="E78" s="687"/>
      <c r="F78" s="688">
        <v>1</v>
      </c>
      <c r="G78" s="689"/>
      <c r="H78" s="690"/>
      <c r="I78" s="691">
        <f>IF('Enter Results'!K131=0,'Enter Results'!G131,0)</f>
        <v>0</v>
      </c>
      <c r="J78" s="682"/>
      <c r="K78" s="682"/>
      <c r="L78" s="670">
        <f>IF('Enter Results'!K132=0,'Enter Results'!G132,0)</f>
        <v>0</v>
      </c>
      <c r="M78" s="671"/>
      <c r="N78" s="672"/>
      <c r="O78" s="670">
        <f>IF('Enter Results'!K133=0,'Enter Results'!G133,0)</f>
        <v>0</v>
      </c>
      <c r="P78" s="672"/>
      <c r="Q78" s="681">
        <f>IF('Enter Results'!K134=0,'Enter Results'!G134,0)</f>
        <v>0</v>
      </c>
      <c r="R78" s="682"/>
      <c r="S78" s="683"/>
      <c r="T78" s="681">
        <f>IF('Enter Results'!K135=0,'Enter Results'!G135,0)</f>
        <v>0</v>
      </c>
      <c r="U78" s="671"/>
      <c r="V78" s="672"/>
      <c r="W78" s="96">
        <f>IF('Enter Results'!K136=0,'Enter Results'!G136,0)</f>
        <v>0</v>
      </c>
      <c r="X78" s="145">
        <f>SUM(I78:W78)</f>
        <v>0</v>
      </c>
      <c r="Y78" s="84"/>
    </row>
    <row r="79" spans="1:25" s="59" customFormat="1" x14ac:dyDescent="0.25">
      <c r="A79" s="422"/>
      <c r="B79" s="287"/>
      <c r="C79" s="97"/>
      <c r="D79" s="98"/>
      <c r="E79" s="99"/>
      <c r="F79" s="659">
        <v>2</v>
      </c>
      <c r="G79" s="660"/>
      <c r="H79" s="661"/>
      <c r="I79" s="662">
        <f>IF('Enter Results'!K131=0,'Enter Results'!H131,0)</f>
        <v>0</v>
      </c>
      <c r="J79" s="663"/>
      <c r="K79" s="663"/>
      <c r="L79" s="658">
        <f>IF('Enter Results'!K132=0,'Enter Results'!H132,0)</f>
        <v>0</v>
      </c>
      <c r="M79" s="636"/>
      <c r="N79" s="623"/>
      <c r="O79" s="658">
        <f>IF('Enter Results'!K133=0,'Enter Results'!H133,0)</f>
        <v>0</v>
      </c>
      <c r="P79" s="623"/>
      <c r="Q79" s="635">
        <f>IF('Enter Results'!K134=0,'Enter Results'!H134,0)</f>
        <v>0</v>
      </c>
      <c r="R79" s="663"/>
      <c r="S79" s="669"/>
      <c r="T79" s="635">
        <f>IF('Enter Results'!K135=0,'Enter Results'!H135,0)</f>
        <v>0</v>
      </c>
      <c r="U79" s="636"/>
      <c r="V79" s="623"/>
      <c r="W79" s="90">
        <f>IF('Enter Results'!K136=0,'Enter Results'!H136,0)</f>
        <v>0</v>
      </c>
      <c r="X79" s="144">
        <f>SUM(I79:W79)</f>
        <v>0</v>
      </c>
      <c r="Y79" s="84"/>
    </row>
    <row r="80" spans="1:25" s="59" customFormat="1" x14ac:dyDescent="0.25">
      <c r="A80" s="422"/>
      <c r="B80" s="287"/>
      <c r="C80" s="101"/>
      <c r="D80" s="98"/>
      <c r="E80" s="99"/>
      <c r="F80" s="659">
        <v>3</v>
      </c>
      <c r="G80" s="660"/>
      <c r="H80" s="661"/>
      <c r="I80" s="662">
        <f>IF('Enter Results'!K131=0,'Enter Results'!I131,0)</f>
        <v>0</v>
      </c>
      <c r="J80" s="663"/>
      <c r="K80" s="663"/>
      <c r="L80" s="658">
        <f>IF('Enter Results'!K132=0,'Enter Results'!I132,0)</f>
        <v>0</v>
      </c>
      <c r="M80" s="636"/>
      <c r="N80" s="623"/>
      <c r="O80" s="658">
        <f>IF('Enter Results'!K133=0,'Enter Results'!I133,0)</f>
        <v>0</v>
      </c>
      <c r="P80" s="623"/>
      <c r="Q80" s="635">
        <f>IF('Enter Results'!K134=0,'Enter Results'!I134,0)</f>
        <v>0</v>
      </c>
      <c r="R80" s="663"/>
      <c r="S80" s="669"/>
      <c r="T80" s="635">
        <f>IF('Enter Results'!K135=0,'Enter Results'!I135,0)</f>
        <v>0</v>
      </c>
      <c r="U80" s="636"/>
      <c r="V80" s="623"/>
      <c r="W80" s="90">
        <f>IF('Enter Results'!K136=0,'Enter Results'!I136,0)</f>
        <v>0</v>
      </c>
      <c r="X80" s="144">
        <f>SUM(I80:W80)</f>
        <v>0</v>
      </c>
      <c r="Y80" s="84"/>
    </row>
    <row r="81" spans="1:25" s="59" customFormat="1" x14ac:dyDescent="0.25">
      <c r="A81" s="422"/>
      <c r="B81" s="287"/>
      <c r="C81" s="97"/>
      <c r="D81" s="98"/>
      <c r="E81" s="99"/>
      <c r="F81" s="659">
        <v>4</v>
      </c>
      <c r="G81" s="660"/>
      <c r="H81" s="661"/>
      <c r="I81" s="662">
        <f>IF('Enter Results'!K131=0,'Enter Results'!J131,0)</f>
        <v>0</v>
      </c>
      <c r="J81" s="663"/>
      <c r="K81" s="663"/>
      <c r="L81" s="658">
        <f>IF('Enter Results'!K132=0,'Enter Results'!J132,0)</f>
        <v>0</v>
      </c>
      <c r="M81" s="636"/>
      <c r="N81" s="623"/>
      <c r="O81" s="658">
        <f>IF('Enter Results'!K133=0,'Enter Results'!J133,0)</f>
        <v>0</v>
      </c>
      <c r="P81" s="623"/>
      <c r="Q81" s="635">
        <f>IF('Enter Results'!K134=0,'Enter Results'!J134,0)</f>
        <v>0</v>
      </c>
      <c r="R81" s="663"/>
      <c r="S81" s="669"/>
      <c r="T81" s="635">
        <f>IF('Enter Results'!K135=0,'Enter Results'!J135,0)</f>
        <v>0</v>
      </c>
      <c r="U81" s="636"/>
      <c r="V81" s="623"/>
      <c r="W81" s="90">
        <f>IF('Enter Results'!K136=0,'Enter Results'!J136,0)</f>
        <v>0</v>
      </c>
      <c r="X81" s="144">
        <f>SUM(I81:W81)</f>
        <v>0</v>
      </c>
      <c r="Y81" s="84"/>
    </row>
    <row r="82" spans="1:25" s="59" customFormat="1" x14ac:dyDescent="0.25">
      <c r="A82" s="422"/>
      <c r="B82" s="287"/>
      <c r="C82" s="102" t="s">
        <v>68</v>
      </c>
      <c r="D82" s="103"/>
      <c r="E82" s="103"/>
      <c r="F82" s="104"/>
      <c r="G82" s="104"/>
      <c r="H82" s="105"/>
      <c r="I82" s="667">
        <f>(I78*1)+(I79*2)+(I80*3)+(I81*4)</f>
        <v>0</v>
      </c>
      <c r="J82" s="668"/>
      <c r="K82" s="668"/>
      <c r="L82" s="693">
        <f>(L78*1)+(L79*2)+(L80*3)+(L81*4)</f>
        <v>0</v>
      </c>
      <c r="M82" s="636"/>
      <c r="N82" s="623"/>
      <c r="O82" s="693">
        <f>(O78*1)+(O79*2)+(O80*3)+(O81*4)</f>
        <v>0</v>
      </c>
      <c r="P82" s="623"/>
      <c r="Q82" s="677">
        <f>(Q78*1)+(Q79*2)+(Q80*3)+(Q81*4)</f>
        <v>0</v>
      </c>
      <c r="R82" s="668"/>
      <c r="S82" s="678"/>
      <c r="T82" s="771">
        <f>(T78*1)+(T79*2)+(T80*3)+(T81*4)</f>
        <v>0</v>
      </c>
      <c r="U82" s="636"/>
      <c r="V82" s="623"/>
      <c r="W82" s="106">
        <f>(W78*1)+(W79*2)+(W80*3)+(W81*4)</f>
        <v>0</v>
      </c>
      <c r="X82" s="146">
        <f>SUM(I82:W82)</f>
        <v>0</v>
      </c>
      <c r="Y82" s="84"/>
    </row>
    <row r="83" spans="1:25" s="98" customFormat="1" ht="15.75" thickBot="1" x14ac:dyDescent="0.3">
      <c r="A83" s="423"/>
      <c r="C83" s="107" t="s">
        <v>69</v>
      </c>
      <c r="D83" s="108"/>
      <c r="E83" s="108"/>
      <c r="F83" s="109"/>
      <c r="G83" s="109"/>
      <c r="H83" s="110"/>
      <c r="I83" s="673">
        <f>ROUND(I82/PointsManagement,2)</f>
        <v>0</v>
      </c>
      <c r="J83" s="674"/>
      <c r="K83" s="675"/>
      <c r="L83" s="679">
        <f>ROUND(L82/PointsFinance,2)</f>
        <v>0</v>
      </c>
      <c r="M83" s="684"/>
      <c r="N83" s="680"/>
      <c r="O83" s="679">
        <f>ROUND(O82/PointsSales,2)</f>
        <v>0</v>
      </c>
      <c r="P83" s="680"/>
      <c r="Q83" s="675">
        <f>ROUND(Q82/PointsOperations,2)</f>
        <v>0</v>
      </c>
      <c r="R83" s="675"/>
      <c r="S83" s="676">
        <f>ROUND(S82/PointsSales,2)</f>
        <v>0</v>
      </c>
      <c r="T83" s="679">
        <f>ROUND(T82/PointsWarehouse,2)</f>
        <v>0</v>
      </c>
      <c r="U83" s="684"/>
      <c r="V83" s="680"/>
      <c r="W83" s="235">
        <f>ROUND(W82/PointsRiskManagement,2)</f>
        <v>0</v>
      </c>
      <c r="X83" s="111">
        <f>ROUND(X82/PointsTotal,2)</f>
        <v>0</v>
      </c>
      <c r="Y83" s="84"/>
    </row>
    <row r="84" spans="1:25" s="59" customFormat="1" ht="15" customHeight="1" thickTop="1" x14ac:dyDescent="0.25">
      <c r="A84" s="422"/>
      <c r="B84" s="287"/>
      <c r="C84" s="685" t="str">
        <f>Name11</f>
        <v>11</v>
      </c>
      <c r="D84" s="686"/>
      <c r="E84" s="687"/>
      <c r="F84" s="688">
        <v>1</v>
      </c>
      <c r="G84" s="689"/>
      <c r="H84" s="690"/>
      <c r="I84" s="691">
        <f>IF('Enter Results'!K143=0,'Enter Results'!G143,0)</f>
        <v>0</v>
      </c>
      <c r="J84" s="682"/>
      <c r="K84" s="682"/>
      <c r="L84" s="670">
        <f>IF('Enter Results'!K144=0,'Enter Results'!G144,0)</f>
        <v>0</v>
      </c>
      <c r="M84" s="671"/>
      <c r="N84" s="672"/>
      <c r="O84" s="670">
        <f>IF('Enter Results'!K145=0,'Enter Results'!G145,0)</f>
        <v>0</v>
      </c>
      <c r="P84" s="672"/>
      <c r="Q84" s="681">
        <f>IF('Enter Results'!K146=0,'Enter Results'!G146,0)</f>
        <v>0</v>
      </c>
      <c r="R84" s="682"/>
      <c r="S84" s="683"/>
      <c r="T84" s="681">
        <f>IF('Enter Results'!K147=0,'Enter Results'!G147,0)</f>
        <v>0</v>
      </c>
      <c r="U84" s="671"/>
      <c r="V84" s="672"/>
      <c r="W84" s="96">
        <f>IF('Enter Results'!K148=0,'Enter Results'!G148,0)</f>
        <v>0</v>
      </c>
      <c r="X84" s="145">
        <f>SUM(I84:W84)</f>
        <v>0</v>
      </c>
      <c r="Y84" s="84"/>
    </row>
    <row r="85" spans="1:25" s="59" customFormat="1" x14ac:dyDescent="0.25">
      <c r="A85" s="422"/>
      <c r="B85" s="287"/>
      <c r="C85" s="97"/>
      <c r="D85" s="98"/>
      <c r="E85" s="99"/>
      <c r="F85" s="659">
        <v>2</v>
      </c>
      <c r="G85" s="660"/>
      <c r="H85" s="661"/>
      <c r="I85" s="662">
        <f>IF('Enter Results'!K143=0,'Enter Results'!H143,0)</f>
        <v>0</v>
      </c>
      <c r="J85" s="663"/>
      <c r="K85" s="663"/>
      <c r="L85" s="658">
        <f>IF('Enter Results'!K144=0,'Enter Results'!H144,0)</f>
        <v>0</v>
      </c>
      <c r="M85" s="636"/>
      <c r="N85" s="623"/>
      <c r="O85" s="658">
        <f>IF('Enter Results'!K145=0,'Enter Results'!H145,0)</f>
        <v>0</v>
      </c>
      <c r="P85" s="623"/>
      <c r="Q85" s="635">
        <f>IF('Enter Results'!K146=0,'Enter Results'!H146,0)</f>
        <v>0</v>
      </c>
      <c r="R85" s="663"/>
      <c r="S85" s="669"/>
      <c r="T85" s="635">
        <f>IF('Enter Results'!K147=0,'Enter Results'!H147,0)</f>
        <v>0</v>
      </c>
      <c r="U85" s="636"/>
      <c r="V85" s="623"/>
      <c r="W85" s="90">
        <f>IF('Enter Results'!K148=0,'Enter Results'!H148,0)</f>
        <v>0</v>
      </c>
      <c r="X85" s="144">
        <f>SUM(I85:W85)</f>
        <v>0</v>
      </c>
      <c r="Y85" s="84"/>
    </row>
    <row r="86" spans="1:25" s="59" customFormat="1" x14ac:dyDescent="0.25">
      <c r="A86" s="422"/>
      <c r="B86" s="287"/>
      <c r="C86" s="101"/>
      <c r="D86" s="98"/>
      <c r="E86" s="99"/>
      <c r="F86" s="659">
        <v>3</v>
      </c>
      <c r="G86" s="660"/>
      <c r="H86" s="661"/>
      <c r="I86" s="662">
        <f>IF('Enter Results'!K143=0,'Enter Results'!I143,0)</f>
        <v>0</v>
      </c>
      <c r="J86" s="663"/>
      <c r="K86" s="663"/>
      <c r="L86" s="658">
        <f>IF('Enter Results'!K144=0,'Enter Results'!I144,0)</f>
        <v>0</v>
      </c>
      <c r="M86" s="636"/>
      <c r="N86" s="623"/>
      <c r="O86" s="658">
        <f>IF('Enter Results'!K145=0,'Enter Results'!I145,0)</f>
        <v>0</v>
      </c>
      <c r="P86" s="623"/>
      <c r="Q86" s="635">
        <f>IF('Enter Results'!K146=0,'Enter Results'!I146,0)</f>
        <v>0</v>
      </c>
      <c r="R86" s="663"/>
      <c r="S86" s="669"/>
      <c r="T86" s="635">
        <f>IF('Enter Results'!K147=0,'Enter Results'!I147,0)</f>
        <v>0</v>
      </c>
      <c r="U86" s="636"/>
      <c r="V86" s="623"/>
      <c r="W86" s="90">
        <f>IF('Enter Results'!K148=0,'Enter Results'!I148,0)</f>
        <v>0</v>
      </c>
      <c r="X86" s="144">
        <f>SUM(I86:W86)</f>
        <v>0</v>
      </c>
      <c r="Y86" s="84"/>
    </row>
    <row r="87" spans="1:25" s="59" customFormat="1" x14ac:dyDescent="0.25">
      <c r="A87" s="422"/>
      <c r="B87" s="287"/>
      <c r="C87" s="97"/>
      <c r="D87" s="98"/>
      <c r="E87" s="99"/>
      <c r="F87" s="659">
        <v>4</v>
      </c>
      <c r="G87" s="660"/>
      <c r="H87" s="661"/>
      <c r="I87" s="662">
        <f>IF('Enter Results'!K143=0,'Enter Results'!J143,0)</f>
        <v>0</v>
      </c>
      <c r="J87" s="663"/>
      <c r="K87" s="663"/>
      <c r="L87" s="658">
        <f>IF('Enter Results'!K144=0,'Enter Results'!J144,0)</f>
        <v>0</v>
      </c>
      <c r="M87" s="636"/>
      <c r="N87" s="623"/>
      <c r="O87" s="658">
        <f>IF('Enter Results'!K145=0,'Enter Results'!J145,0)</f>
        <v>0</v>
      </c>
      <c r="P87" s="623"/>
      <c r="Q87" s="635">
        <f>IF('Enter Results'!K146=0,'Enter Results'!J146,0)</f>
        <v>0</v>
      </c>
      <c r="R87" s="663"/>
      <c r="S87" s="669"/>
      <c r="T87" s="635">
        <f>IF('Enter Results'!K147=0,'Enter Results'!J147,0)</f>
        <v>0</v>
      </c>
      <c r="U87" s="636"/>
      <c r="V87" s="623"/>
      <c r="W87" s="90">
        <f>IF('Enter Results'!K148=0,'Enter Results'!J148,0)</f>
        <v>0</v>
      </c>
      <c r="X87" s="144">
        <f>SUM(I87:W87)</f>
        <v>0</v>
      </c>
      <c r="Y87" s="84"/>
    </row>
    <row r="88" spans="1:25" s="59" customFormat="1" x14ac:dyDescent="0.25">
      <c r="A88" s="422"/>
      <c r="B88" s="287"/>
      <c r="C88" s="102" t="s">
        <v>68</v>
      </c>
      <c r="D88" s="103"/>
      <c r="E88" s="103"/>
      <c r="F88" s="104"/>
      <c r="G88" s="104"/>
      <c r="H88" s="105"/>
      <c r="I88" s="667">
        <f>(I84*1)+(I85*2)+(I86*3)+(I87*4)</f>
        <v>0</v>
      </c>
      <c r="J88" s="668"/>
      <c r="K88" s="668"/>
      <c r="L88" s="693">
        <f>(L84*1)+(L85*2)+(L86*3)+(L87*4)</f>
        <v>0</v>
      </c>
      <c r="M88" s="636"/>
      <c r="N88" s="623"/>
      <c r="O88" s="693">
        <f>(O84*1)+(O85*2)+(O86*3)+(O87*4)</f>
        <v>0</v>
      </c>
      <c r="P88" s="623"/>
      <c r="Q88" s="677">
        <f>(Q84*1)+(Q85*2)+(Q86*3)+(Q87*4)</f>
        <v>0</v>
      </c>
      <c r="R88" s="668"/>
      <c r="S88" s="678"/>
      <c r="T88" s="771">
        <f>(T84*1)+(T85*2)+(T86*3)+(T87*4)</f>
        <v>0</v>
      </c>
      <c r="U88" s="636"/>
      <c r="V88" s="623"/>
      <c r="W88" s="106">
        <f>(W84*1)+(W85*2)+(W86*3)+(W87*4)</f>
        <v>0</v>
      </c>
      <c r="X88" s="146">
        <f>SUM(I88:W88)</f>
        <v>0</v>
      </c>
      <c r="Y88" s="84"/>
    </row>
    <row r="89" spans="1:25" s="98" customFormat="1" ht="15.75" thickBot="1" x14ac:dyDescent="0.3">
      <c r="A89" s="423"/>
      <c r="C89" s="107" t="s">
        <v>69</v>
      </c>
      <c r="D89" s="108"/>
      <c r="E89" s="108"/>
      <c r="F89" s="109"/>
      <c r="G89" s="109"/>
      <c r="H89" s="110"/>
      <c r="I89" s="673">
        <f>ROUND(I88/PointsManagement,2)</f>
        <v>0</v>
      </c>
      <c r="J89" s="674"/>
      <c r="K89" s="675"/>
      <c r="L89" s="679">
        <f>ROUND(L88/PointsFinance,2)</f>
        <v>0</v>
      </c>
      <c r="M89" s="684"/>
      <c r="N89" s="680"/>
      <c r="O89" s="679">
        <f>ROUND(O88/PointsSales,2)</f>
        <v>0</v>
      </c>
      <c r="P89" s="680"/>
      <c r="Q89" s="675">
        <f>ROUND(Q88/PointsOperations,2)</f>
        <v>0</v>
      </c>
      <c r="R89" s="675"/>
      <c r="S89" s="676">
        <f>ROUND(S88/PointsSales,2)</f>
        <v>0</v>
      </c>
      <c r="T89" s="679">
        <f>ROUND(T88/PointsWarehouse,2)</f>
        <v>0</v>
      </c>
      <c r="U89" s="684"/>
      <c r="V89" s="680"/>
      <c r="W89" s="235">
        <f>ROUND(W88/PointsRiskManagement,2)</f>
        <v>0</v>
      </c>
      <c r="X89" s="111">
        <f>ROUND(X88/PointsTotal,2)</f>
        <v>0</v>
      </c>
      <c r="Y89" s="84"/>
    </row>
    <row r="90" spans="1:25" s="59" customFormat="1" ht="15" customHeight="1" thickTop="1" x14ac:dyDescent="0.25">
      <c r="A90" s="422"/>
      <c r="B90" s="287"/>
      <c r="C90" s="685" t="str">
        <f>Name12</f>
        <v>12</v>
      </c>
      <c r="D90" s="686"/>
      <c r="E90" s="687"/>
      <c r="F90" s="688">
        <v>1</v>
      </c>
      <c r="G90" s="689"/>
      <c r="H90" s="690"/>
      <c r="I90" s="691">
        <f>IF('Enter Results'!K155=0,'Enter Results'!G155,0)</f>
        <v>0</v>
      </c>
      <c r="J90" s="682"/>
      <c r="K90" s="682"/>
      <c r="L90" s="670">
        <f>IF('Enter Results'!K156=0,'Enter Results'!G156,0)</f>
        <v>0</v>
      </c>
      <c r="M90" s="671"/>
      <c r="N90" s="672"/>
      <c r="O90" s="670">
        <f>IF('Enter Results'!K157=0,'Enter Results'!G157,0)</f>
        <v>0</v>
      </c>
      <c r="P90" s="672"/>
      <c r="Q90" s="681">
        <f>IF('Enter Results'!K158=0,'Enter Results'!G158,0)</f>
        <v>0</v>
      </c>
      <c r="R90" s="682"/>
      <c r="S90" s="683"/>
      <c r="T90" s="681">
        <f>IF('Enter Results'!K159=0,'Enter Results'!G159,0)</f>
        <v>0</v>
      </c>
      <c r="U90" s="671"/>
      <c r="V90" s="672"/>
      <c r="W90" s="96">
        <f>IF('Enter Results'!K160=0,'Enter Results'!G160,0)</f>
        <v>0</v>
      </c>
      <c r="X90" s="145">
        <f>SUM(I90:W90)</f>
        <v>0</v>
      </c>
      <c r="Y90" s="84"/>
    </row>
    <row r="91" spans="1:25" s="59" customFormat="1" x14ac:dyDescent="0.25">
      <c r="A91" s="422"/>
      <c r="B91" s="287"/>
      <c r="C91" s="97"/>
      <c r="D91" s="98"/>
      <c r="E91" s="99"/>
      <c r="F91" s="659">
        <v>2</v>
      </c>
      <c r="G91" s="660"/>
      <c r="H91" s="661"/>
      <c r="I91" s="662">
        <f>IF('Enter Results'!K155=0,'Enter Results'!H155,0)</f>
        <v>0</v>
      </c>
      <c r="J91" s="663"/>
      <c r="K91" s="663"/>
      <c r="L91" s="658">
        <f>IF('Enter Results'!K156=0,'Enter Results'!H156,0)</f>
        <v>0</v>
      </c>
      <c r="M91" s="636"/>
      <c r="N91" s="623"/>
      <c r="O91" s="658">
        <f>IF('Enter Results'!K157=0,'Enter Results'!H157,0)</f>
        <v>0</v>
      </c>
      <c r="P91" s="623"/>
      <c r="Q91" s="635">
        <f>IF('Enter Results'!K158=0,'Enter Results'!H158,0)</f>
        <v>0</v>
      </c>
      <c r="R91" s="663"/>
      <c r="S91" s="669"/>
      <c r="T91" s="635">
        <f>IF('Enter Results'!K159=0,'Enter Results'!H159,0)</f>
        <v>0</v>
      </c>
      <c r="U91" s="636"/>
      <c r="V91" s="623"/>
      <c r="W91" s="90">
        <f>IF('Enter Results'!K160=0,'Enter Results'!H160,0)</f>
        <v>0</v>
      </c>
      <c r="X91" s="144">
        <f>SUM(I91:W91)</f>
        <v>0</v>
      </c>
      <c r="Y91" s="84"/>
    </row>
    <row r="92" spans="1:25" s="59" customFormat="1" x14ac:dyDescent="0.25">
      <c r="A92" s="422"/>
      <c r="B92" s="287"/>
      <c r="C92" s="101"/>
      <c r="D92" s="98"/>
      <c r="E92" s="99"/>
      <c r="F92" s="659">
        <v>3</v>
      </c>
      <c r="G92" s="660"/>
      <c r="H92" s="661"/>
      <c r="I92" s="662">
        <f>IF('Enter Results'!K155=0,'Enter Results'!I155,0)</f>
        <v>0</v>
      </c>
      <c r="J92" s="663"/>
      <c r="K92" s="663"/>
      <c r="L92" s="658">
        <f>IF('Enter Results'!K156=0,'Enter Results'!I156,0)</f>
        <v>0</v>
      </c>
      <c r="M92" s="636"/>
      <c r="N92" s="623"/>
      <c r="O92" s="658">
        <f>IF('Enter Results'!K157=0,'Enter Results'!I157,0)</f>
        <v>0</v>
      </c>
      <c r="P92" s="623"/>
      <c r="Q92" s="635">
        <f>IF('Enter Results'!K158=0,'Enter Results'!I158,0)</f>
        <v>0</v>
      </c>
      <c r="R92" s="663"/>
      <c r="S92" s="669"/>
      <c r="T92" s="635">
        <f>IF('Enter Results'!K159=0,'Enter Results'!I159,0)</f>
        <v>0</v>
      </c>
      <c r="U92" s="636"/>
      <c r="V92" s="623"/>
      <c r="W92" s="90">
        <f>IF('Enter Results'!K160=0,'Enter Results'!I160,0)</f>
        <v>0</v>
      </c>
      <c r="X92" s="144">
        <f>SUM(I92:W92)</f>
        <v>0</v>
      </c>
      <c r="Y92" s="84"/>
    </row>
    <row r="93" spans="1:25" s="59" customFormat="1" x14ac:dyDescent="0.25">
      <c r="A93" s="422"/>
      <c r="B93" s="287"/>
      <c r="C93" s="97"/>
      <c r="D93" s="98"/>
      <c r="E93" s="99"/>
      <c r="F93" s="659">
        <v>4</v>
      </c>
      <c r="G93" s="660"/>
      <c r="H93" s="661"/>
      <c r="I93" s="662">
        <f>IF('Enter Results'!K155=0,'Enter Results'!J155,0)</f>
        <v>0</v>
      </c>
      <c r="J93" s="663"/>
      <c r="K93" s="663"/>
      <c r="L93" s="658">
        <f>IF('Enter Results'!K156=0,'Enter Results'!J156,0)</f>
        <v>0</v>
      </c>
      <c r="M93" s="636"/>
      <c r="N93" s="623"/>
      <c r="O93" s="658">
        <f>IF('Enter Results'!K157=0,'Enter Results'!J157,0)</f>
        <v>0</v>
      </c>
      <c r="P93" s="623"/>
      <c r="Q93" s="635">
        <f>IF('Enter Results'!K158=0,'Enter Results'!J158,0)</f>
        <v>0</v>
      </c>
      <c r="R93" s="663"/>
      <c r="S93" s="669"/>
      <c r="T93" s="635">
        <f>IF('Enter Results'!K159=0,'Enter Results'!J159,0)</f>
        <v>0</v>
      </c>
      <c r="U93" s="636"/>
      <c r="V93" s="623"/>
      <c r="W93" s="90">
        <f>IF('Enter Results'!K160=0,'Enter Results'!J160,0)</f>
        <v>0</v>
      </c>
      <c r="X93" s="144">
        <f>SUM(I93:W93)</f>
        <v>0</v>
      </c>
      <c r="Y93" s="84"/>
    </row>
    <row r="94" spans="1:25" s="59" customFormat="1" x14ac:dyDescent="0.25">
      <c r="A94" s="422"/>
      <c r="B94" s="287"/>
      <c r="C94" s="102" t="s">
        <v>68</v>
      </c>
      <c r="D94" s="103"/>
      <c r="E94" s="103"/>
      <c r="F94" s="104"/>
      <c r="G94" s="104"/>
      <c r="H94" s="105"/>
      <c r="I94" s="667">
        <f>(I90*1)+(I91*2)+(I92*3)+(I93*4)</f>
        <v>0</v>
      </c>
      <c r="J94" s="668"/>
      <c r="K94" s="668"/>
      <c r="L94" s="693">
        <f>(L90*1)+(L91*2)+(L92*3)+(L93*4)</f>
        <v>0</v>
      </c>
      <c r="M94" s="636"/>
      <c r="N94" s="623"/>
      <c r="O94" s="693">
        <f>(O90*1)+(O91*2)+(O92*3)+(O93*4)</f>
        <v>0</v>
      </c>
      <c r="P94" s="623"/>
      <c r="Q94" s="677">
        <f>(Q90*1)+(Q91*2)+(Q92*3)+(Q93*4)</f>
        <v>0</v>
      </c>
      <c r="R94" s="668"/>
      <c r="S94" s="678"/>
      <c r="T94" s="771">
        <f>(T90*1)+(T91*2)+(T92*3)+(T93*4)</f>
        <v>0</v>
      </c>
      <c r="U94" s="636"/>
      <c r="V94" s="623"/>
      <c r="W94" s="106">
        <f>(W90*1)+(W91*2)+(W92*3)+(W93*4)</f>
        <v>0</v>
      </c>
      <c r="X94" s="146">
        <f>SUM(I94:W94)</f>
        <v>0</v>
      </c>
      <c r="Y94" s="84"/>
    </row>
    <row r="95" spans="1:25" s="98" customFormat="1" ht="15.75" thickBot="1" x14ac:dyDescent="0.3">
      <c r="A95" s="423"/>
      <c r="C95" s="107" t="s">
        <v>69</v>
      </c>
      <c r="D95" s="108"/>
      <c r="E95" s="108"/>
      <c r="F95" s="109"/>
      <c r="G95" s="109"/>
      <c r="H95" s="110"/>
      <c r="I95" s="673">
        <f>ROUND(I94/PointsManagement,2)</f>
        <v>0</v>
      </c>
      <c r="J95" s="674"/>
      <c r="K95" s="675"/>
      <c r="L95" s="679">
        <f>ROUND(L94/PointsFinance,2)</f>
        <v>0</v>
      </c>
      <c r="M95" s="684"/>
      <c r="N95" s="680"/>
      <c r="O95" s="679">
        <f>ROUND(O94/PointsSales,2)</f>
        <v>0</v>
      </c>
      <c r="P95" s="680"/>
      <c r="Q95" s="675">
        <f>ROUND(Q94/PointsOperations,2)</f>
        <v>0</v>
      </c>
      <c r="R95" s="675"/>
      <c r="S95" s="676">
        <f>ROUND(S94/PointsSales,2)</f>
        <v>0</v>
      </c>
      <c r="T95" s="679">
        <f>ROUND(T94/PointsWarehouse,2)</f>
        <v>0</v>
      </c>
      <c r="U95" s="684"/>
      <c r="V95" s="680"/>
      <c r="W95" s="235">
        <f>ROUND(W94/PointsRiskManagement,2)</f>
        <v>0</v>
      </c>
      <c r="X95" s="111">
        <f>ROUND(X94/PointsTotal,2)</f>
        <v>0</v>
      </c>
      <c r="Y95" s="84"/>
    </row>
    <row r="96" spans="1:25" s="59" customFormat="1" ht="5.25" customHeight="1" thickTop="1" thickBot="1" x14ac:dyDescent="0.3">
      <c r="A96" s="422"/>
      <c r="B96" s="287"/>
      <c r="O96" s="74"/>
      <c r="P96" s="74"/>
      <c r="T96" s="74"/>
      <c r="U96" s="74"/>
      <c r="V96" s="74"/>
    </row>
    <row r="97" spans="1:9" s="59" customFormat="1" ht="14.25" customHeight="1" thickBot="1" x14ac:dyDescent="0.3">
      <c r="A97" s="422"/>
      <c r="B97" s="287"/>
      <c r="C97" s="63" t="s">
        <v>64</v>
      </c>
      <c r="D97" s="65"/>
      <c r="E97" s="64"/>
      <c r="F97" s="65"/>
      <c r="G97" s="66"/>
    </row>
    <row r="98" spans="1:9" s="59" customFormat="1" x14ac:dyDescent="0.25">
      <c r="A98" s="422"/>
      <c r="B98" s="287"/>
      <c r="C98" s="67" t="s">
        <v>62</v>
      </c>
      <c r="D98" s="69" t="s">
        <v>10</v>
      </c>
      <c r="E98" s="68"/>
      <c r="F98" s="70" t="s">
        <v>63</v>
      </c>
      <c r="G98" s="71"/>
    </row>
    <row r="99" spans="1:9" s="59" customFormat="1" ht="13.5" customHeight="1" thickBot="1" x14ac:dyDescent="0.3">
      <c r="A99" s="422"/>
      <c r="B99" s="287"/>
      <c r="C99" s="72" t="s">
        <v>60</v>
      </c>
      <c r="D99" s="74" t="s">
        <v>140</v>
      </c>
      <c r="E99" s="73"/>
      <c r="F99" s="75"/>
      <c r="G99" s="76"/>
    </row>
    <row r="100" spans="1:9" s="59" customFormat="1" ht="13.5" customHeight="1" thickBot="1" x14ac:dyDescent="0.3">
      <c r="A100" s="422"/>
      <c r="B100" s="287"/>
      <c r="C100" s="72" t="s">
        <v>137</v>
      </c>
      <c r="D100" s="74" t="s">
        <v>141</v>
      </c>
      <c r="E100" s="73"/>
      <c r="F100" s="77"/>
      <c r="G100" s="76"/>
    </row>
    <row r="101" spans="1:9" s="59" customFormat="1" ht="13.5" customHeight="1" thickBot="1" x14ac:dyDescent="0.3">
      <c r="A101" s="422"/>
      <c r="B101" s="287"/>
      <c r="C101" s="72" t="s">
        <v>61</v>
      </c>
      <c r="D101" s="74" t="s">
        <v>142</v>
      </c>
      <c r="E101" s="73"/>
      <c r="F101" s="187"/>
      <c r="G101" s="76"/>
    </row>
    <row r="102" spans="1:9" s="59" customFormat="1" ht="13.5" customHeight="1" thickBot="1" x14ac:dyDescent="0.3">
      <c r="A102" s="422"/>
      <c r="B102" s="287"/>
      <c r="C102" s="78" t="s">
        <v>138</v>
      </c>
      <c r="D102" s="80" t="s">
        <v>139</v>
      </c>
      <c r="E102" s="79"/>
      <c r="F102" s="81"/>
      <c r="G102" s="82"/>
    </row>
    <row r="103" spans="1:9" ht="3" customHeight="1" x14ac:dyDescent="0.25">
      <c r="A103" s="424"/>
      <c r="B103" s="445"/>
    </row>
    <row r="104" spans="1:9" hidden="1" x14ac:dyDescent="0.25"/>
    <row r="105" spans="1:9" ht="15.75" hidden="1" thickBot="1" x14ac:dyDescent="0.3">
      <c r="C105" s="425" t="s">
        <v>64</v>
      </c>
      <c r="D105" s="426"/>
      <c r="E105" s="427"/>
      <c r="F105" s="426"/>
      <c r="G105" s="428"/>
    </row>
    <row r="106" spans="1:9" hidden="1" x14ac:dyDescent="0.25">
      <c r="C106" s="429" t="s">
        <v>62</v>
      </c>
      <c r="D106" s="430" t="s">
        <v>10</v>
      </c>
      <c r="E106" s="431"/>
      <c r="F106" s="432" t="s">
        <v>63</v>
      </c>
      <c r="G106" s="433"/>
      <c r="I106" s="434" t="s">
        <v>172</v>
      </c>
    </row>
    <row r="107" spans="1:9" ht="15.75" hidden="1" thickBot="1" x14ac:dyDescent="0.3">
      <c r="C107" s="435" t="s">
        <v>60</v>
      </c>
      <c r="D107" s="423" t="s">
        <v>140</v>
      </c>
      <c r="E107" s="436"/>
      <c r="F107" s="437"/>
      <c r="G107" s="438"/>
      <c r="I107" s="422" t="s">
        <v>171</v>
      </c>
    </row>
    <row r="108" spans="1:9" ht="15.75" hidden="1" thickBot="1" x14ac:dyDescent="0.3">
      <c r="C108" s="435" t="s">
        <v>137</v>
      </c>
      <c r="D108" s="423" t="s">
        <v>141</v>
      </c>
      <c r="E108" s="436"/>
      <c r="F108" s="439"/>
      <c r="G108" s="438"/>
      <c r="I108" s="422" t="s">
        <v>170</v>
      </c>
    </row>
    <row r="109" spans="1:9" ht="15.75" hidden="1" thickBot="1" x14ac:dyDescent="0.3">
      <c r="C109" s="435" t="s">
        <v>61</v>
      </c>
      <c r="D109" s="423" t="s">
        <v>142</v>
      </c>
      <c r="E109" s="436"/>
      <c r="F109" s="439"/>
      <c r="G109" s="438"/>
      <c r="I109" s="422" t="s">
        <v>169</v>
      </c>
    </row>
    <row r="110" spans="1:9" ht="15.75" hidden="1" thickBot="1" x14ac:dyDescent="0.3">
      <c r="C110" s="440" t="s">
        <v>138</v>
      </c>
      <c r="D110" s="441" t="s">
        <v>139</v>
      </c>
      <c r="E110" s="442"/>
      <c r="F110" s="443"/>
      <c r="G110" s="444"/>
      <c r="I110" s="422" t="s">
        <v>168</v>
      </c>
    </row>
    <row r="111" spans="1:9" hidden="1" x14ac:dyDescent="0.25"/>
    <row r="112" spans="1:9" hidden="1" x14ac:dyDescent="0.25"/>
    <row r="113" hidden="1" x14ac:dyDescent="0.25"/>
    <row r="114" hidden="1" x14ac:dyDescent="0.25"/>
  </sheetData>
  <sheetProtection algorithmName="SHA-512" hashValue="hCr/6PupjL6bCMRQN+vMHh3RNUobu5kmrpOIW39Rw841RYcG8l3z+OyXJSnclWanS2KHHJxsNKqZm7u8gqEWYA==" saltValue="gvkr1J7JvoVN/voo1Hjn2A==" spinCount="100000" sheet="1" objects="1" scenarios="1" selectLockedCells="1" selectUnlockedCells="1"/>
  <mergeCells count="521">
    <mergeCell ref="C4:U4"/>
    <mergeCell ref="C1:U1"/>
    <mergeCell ref="C2:U2"/>
    <mergeCell ref="C3:U3"/>
    <mergeCell ref="T92:V92"/>
    <mergeCell ref="T87:V87"/>
    <mergeCell ref="T88:V88"/>
    <mergeCell ref="L89:N89"/>
    <mergeCell ref="T89:V89"/>
    <mergeCell ref="T90:V90"/>
    <mergeCell ref="L91:N91"/>
    <mergeCell ref="T91:V91"/>
    <mergeCell ref="L92:N92"/>
    <mergeCell ref="O91:P91"/>
    <mergeCell ref="O92:P92"/>
    <mergeCell ref="Q88:S88"/>
    <mergeCell ref="Q89:S89"/>
    <mergeCell ref="O89:P89"/>
    <mergeCell ref="T81:V81"/>
    <mergeCell ref="L82:N82"/>
    <mergeCell ref="O82:P82"/>
    <mergeCell ref="T82:V82"/>
    <mergeCell ref="T84:V84"/>
    <mergeCell ref="T75:V75"/>
    <mergeCell ref="T95:V95"/>
    <mergeCell ref="O94:P94"/>
    <mergeCell ref="T94:V94"/>
    <mergeCell ref="T83:V83"/>
    <mergeCell ref="O84:P84"/>
    <mergeCell ref="Q84:S84"/>
    <mergeCell ref="T80:V80"/>
    <mergeCell ref="O78:P78"/>
    <mergeCell ref="Q80:S80"/>
    <mergeCell ref="Q78:S78"/>
    <mergeCell ref="T93:V93"/>
    <mergeCell ref="O79:P79"/>
    <mergeCell ref="T79:V79"/>
    <mergeCell ref="O80:P80"/>
    <mergeCell ref="Q87:S87"/>
    <mergeCell ref="O81:P81"/>
    <mergeCell ref="Q81:S81"/>
    <mergeCell ref="T78:V78"/>
    <mergeCell ref="T85:V85"/>
    <mergeCell ref="O86:P86"/>
    <mergeCell ref="T86:V86"/>
    <mergeCell ref="Q86:S86"/>
    <mergeCell ref="Q85:S85"/>
    <mergeCell ref="O85:P85"/>
    <mergeCell ref="T76:V76"/>
    <mergeCell ref="L77:N77"/>
    <mergeCell ref="L78:N78"/>
    <mergeCell ref="O77:P77"/>
    <mergeCell ref="T77:V77"/>
    <mergeCell ref="Q75:S75"/>
    <mergeCell ref="L75:N75"/>
    <mergeCell ref="Q76:S76"/>
    <mergeCell ref="O75:P75"/>
    <mergeCell ref="T72:V72"/>
    <mergeCell ref="L73:N73"/>
    <mergeCell ref="O73:P73"/>
    <mergeCell ref="T73:V73"/>
    <mergeCell ref="T74:V74"/>
    <mergeCell ref="T65:V65"/>
    <mergeCell ref="L63:N63"/>
    <mergeCell ref="Q65:S65"/>
    <mergeCell ref="Q64:S64"/>
    <mergeCell ref="T66:V66"/>
    <mergeCell ref="T67:V67"/>
    <mergeCell ref="O70:P70"/>
    <mergeCell ref="Q74:S74"/>
    <mergeCell ref="L72:N72"/>
    <mergeCell ref="O72:P72"/>
    <mergeCell ref="T68:V68"/>
    <mergeCell ref="Q68:S68"/>
    <mergeCell ref="T69:V69"/>
    <mergeCell ref="T70:V70"/>
    <mergeCell ref="L71:N71"/>
    <mergeCell ref="O71:P71"/>
    <mergeCell ref="T71:V71"/>
    <mergeCell ref="L65:N65"/>
    <mergeCell ref="Q70:S70"/>
    <mergeCell ref="T62:V62"/>
    <mergeCell ref="O60:P60"/>
    <mergeCell ref="L60:N60"/>
    <mergeCell ref="T63:V63"/>
    <mergeCell ref="O64:P64"/>
    <mergeCell ref="T64:V64"/>
    <mergeCell ref="Q62:S62"/>
    <mergeCell ref="Q63:S63"/>
    <mergeCell ref="Q60:S60"/>
    <mergeCell ref="L64:N64"/>
    <mergeCell ref="L62:N62"/>
    <mergeCell ref="O62:P62"/>
    <mergeCell ref="T58:V58"/>
    <mergeCell ref="Q58:S58"/>
    <mergeCell ref="Q57:S57"/>
    <mergeCell ref="L56:N56"/>
    <mergeCell ref="T60:V60"/>
    <mergeCell ref="L61:N61"/>
    <mergeCell ref="O61:P61"/>
    <mergeCell ref="T61:V61"/>
    <mergeCell ref="Q59:S59"/>
    <mergeCell ref="Q61:S61"/>
    <mergeCell ref="O59:P59"/>
    <mergeCell ref="O58:P58"/>
    <mergeCell ref="T55:V55"/>
    <mergeCell ref="T56:V56"/>
    <mergeCell ref="L57:N57"/>
    <mergeCell ref="O57:P57"/>
    <mergeCell ref="T57:V57"/>
    <mergeCell ref="O56:P56"/>
    <mergeCell ref="Q55:S55"/>
    <mergeCell ref="O55:P55"/>
    <mergeCell ref="L55:N55"/>
    <mergeCell ref="Q56:S56"/>
    <mergeCell ref="T52:V52"/>
    <mergeCell ref="L50:N50"/>
    <mergeCell ref="O50:P50"/>
    <mergeCell ref="T53:V53"/>
    <mergeCell ref="L53:N53"/>
    <mergeCell ref="L54:N54"/>
    <mergeCell ref="O54:P54"/>
    <mergeCell ref="T54:V54"/>
    <mergeCell ref="O53:P53"/>
    <mergeCell ref="L52:N52"/>
    <mergeCell ref="Q54:S54"/>
    <mergeCell ref="O52:P52"/>
    <mergeCell ref="Q52:S52"/>
    <mergeCell ref="Q53:S53"/>
    <mergeCell ref="T49:V49"/>
    <mergeCell ref="Q48:S48"/>
    <mergeCell ref="Q49:S49"/>
    <mergeCell ref="O47:P47"/>
    <mergeCell ref="T50:V50"/>
    <mergeCell ref="L51:N51"/>
    <mergeCell ref="O51:P51"/>
    <mergeCell ref="T51:V51"/>
    <mergeCell ref="Q50:S50"/>
    <mergeCell ref="O49:P49"/>
    <mergeCell ref="L49:N49"/>
    <mergeCell ref="T46:V46"/>
    <mergeCell ref="Q44:S44"/>
    <mergeCell ref="T47:V47"/>
    <mergeCell ref="L48:N48"/>
    <mergeCell ref="O48:P48"/>
    <mergeCell ref="T48:V48"/>
    <mergeCell ref="Q46:S46"/>
    <mergeCell ref="L46:N46"/>
    <mergeCell ref="O46:P46"/>
    <mergeCell ref="L47:N47"/>
    <mergeCell ref="Q47:S47"/>
    <mergeCell ref="T43:V43"/>
    <mergeCell ref="Q43:S43"/>
    <mergeCell ref="T44:V44"/>
    <mergeCell ref="L45:N45"/>
    <mergeCell ref="O45:P45"/>
    <mergeCell ref="T45:V45"/>
    <mergeCell ref="Q45:S45"/>
    <mergeCell ref="L43:N43"/>
    <mergeCell ref="O44:P44"/>
    <mergeCell ref="O43:P43"/>
    <mergeCell ref="L44:N44"/>
    <mergeCell ref="O38:P38"/>
    <mergeCell ref="T40:V40"/>
    <mergeCell ref="Q39:S39"/>
    <mergeCell ref="Q40:S40"/>
    <mergeCell ref="T41:V41"/>
    <mergeCell ref="L42:N42"/>
    <mergeCell ref="O42:P42"/>
    <mergeCell ref="T42:V42"/>
    <mergeCell ref="L40:N40"/>
    <mergeCell ref="O40:P40"/>
    <mergeCell ref="Q42:S42"/>
    <mergeCell ref="L41:N41"/>
    <mergeCell ref="T39:V39"/>
    <mergeCell ref="L39:N39"/>
    <mergeCell ref="O39:P39"/>
    <mergeCell ref="Q41:S41"/>
    <mergeCell ref="O41:P41"/>
    <mergeCell ref="T35:V35"/>
    <mergeCell ref="T36:V36"/>
    <mergeCell ref="O33:P33"/>
    <mergeCell ref="O32:P32"/>
    <mergeCell ref="T32:V32"/>
    <mergeCell ref="T34:V34"/>
    <mergeCell ref="T33:V33"/>
    <mergeCell ref="O34:P34"/>
    <mergeCell ref="Q32:S32"/>
    <mergeCell ref="T29:V29"/>
    <mergeCell ref="T37:V37"/>
    <mergeCell ref="L35:N35"/>
    <mergeCell ref="O35:P35"/>
    <mergeCell ref="T38:V38"/>
    <mergeCell ref="T31:V31"/>
    <mergeCell ref="Q34:S34"/>
    <mergeCell ref="L34:N34"/>
    <mergeCell ref="L29:N29"/>
    <mergeCell ref="T30:V30"/>
    <mergeCell ref="Q31:S31"/>
    <mergeCell ref="Q33:S33"/>
    <mergeCell ref="L36:N36"/>
    <mergeCell ref="O36:P36"/>
    <mergeCell ref="L33:N33"/>
    <mergeCell ref="O31:P31"/>
    <mergeCell ref="L31:N31"/>
    <mergeCell ref="O37:P37"/>
    <mergeCell ref="L37:N37"/>
    <mergeCell ref="L32:N32"/>
    <mergeCell ref="Q37:S37"/>
    <mergeCell ref="Q38:S38"/>
    <mergeCell ref="L38:N38"/>
    <mergeCell ref="Q36:S36"/>
    <mergeCell ref="T26:V26"/>
    <mergeCell ref="T10:V10"/>
    <mergeCell ref="T11:V11"/>
    <mergeCell ref="T24:V24"/>
    <mergeCell ref="T25:V25"/>
    <mergeCell ref="T21:V21"/>
    <mergeCell ref="T18:V18"/>
    <mergeCell ref="T19:V19"/>
    <mergeCell ref="T23:V23"/>
    <mergeCell ref="T15:V15"/>
    <mergeCell ref="T16:V16"/>
    <mergeCell ref="O5:P5"/>
    <mergeCell ref="T5:V5"/>
    <mergeCell ref="O7:P7"/>
    <mergeCell ref="O8:P8"/>
    <mergeCell ref="O9:P9"/>
    <mergeCell ref="I5:K5"/>
    <mergeCell ref="I6:K6"/>
    <mergeCell ref="L6:N6"/>
    <mergeCell ref="T6:V6"/>
    <mergeCell ref="T7:V7"/>
    <mergeCell ref="T8:V8"/>
    <mergeCell ref="I7:K7"/>
    <mergeCell ref="Q7:S7"/>
    <mergeCell ref="T9:V9"/>
    <mergeCell ref="L5:N5"/>
    <mergeCell ref="L7:N7"/>
    <mergeCell ref="L8:N8"/>
    <mergeCell ref="L9:N9"/>
    <mergeCell ref="Q5:S5"/>
    <mergeCell ref="Q6:S6"/>
    <mergeCell ref="O6:P6"/>
    <mergeCell ref="F29:H29"/>
    <mergeCell ref="F32:H32"/>
    <mergeCell ref="F43:H43"/>
    <mergeCell ref="F47:H47"/>
    <mergeCell ref="F61:H61"/>
    <mergeCell ref="F87:H87"/>
    <mergeCell ref="I87:K87"/>
    <mergeCell ref="T12:V12"/>
    <mergeCell ref="C6:H6"/>
    <mergeCell ref="C7:H7"/>
    <mergeCell ref="I11:K11"/>
    <mergeCell ref="C8:H8"/>
    <mergeCell ref="C9:H9"/>
    <mergeCell ref="T13:V13"/>
    <mergeCell ref="T14:V14"/>
    <mergeCell ref="T17:V17"/>
    <mergeCell ref="T28:V28"/>
    <mergeCell ref="Q18:S18"/>
    <mergeCell ref="O29:P29"/>
    <mergeCell ref="Q23:S23"/>
    <mergeCell ref="T27:V27"/>
    <mergeCell ref="O21:P21"/>
    <mergeCell ref="Q21:S21"/>
    <mergeCell ref="Q27:S27"/>
    <mergeCell ref="F93:H93"/>
    <mergeCell ref="I93:K93"/>
    <mergeCell ref="F92:H92"/>
    <mergeCell ref="I92:K92"/>
    <mergeCell ref="I55:K55"/>
    <mergeCell ref="I31:K31"/>
    <mergeCell ref="F91:H91"/>
    <mergeCell ref="I89:K89"/>
    <mergeCell ref="F54:H54"/>
    <mergeCell ref="I54:K54"/>
    <mergeCell ref="I52:K52"/>
    <mergeCell ref="I47:K47"/>
    <mergeCell ref="I42:K42"/>
    <mergeCell ref="I44:K44"/>
    <mergeCell ref="I32:K32"/>
    <mergeCell ref="F38:H38"/>
    <mergeCell ref="F31:H31"/>
    <mergeCell ref="F36:H36"/>
    <mergeCell ref="I34:K34"/>
    <mergeCell ref="F35:H35"/>
    <mergeCell ref="I35:K35"/>
    <mergeCell ref="F68:H68"/>
    <mergeCell ref="I70:K70"/>
    <mergeCell ref="F66:H66"/>
    <mergeCell ref="I95:K95"/>
    <mergeCell ref="Q95:S95"/>
    <mergeCell ref="L93:N93"/>
    <mergeCell ref="O93:P93"/>
    <mergeCell ref="L94:N94"/>
    <mergeCell ref="O90:P90"/>
    <mergeCell ref="Q93:S93"/>
    <mergeCell ref="I94:K94"/>
    <mergeCell ref="Q94:S94"/>
    <mergeCell ref="Q92:S92"/>
    <mergeCell ref="L95:N95"/>
    <mergeCell ref="O95:P95"/>
    <mergeCell ref="I91:K91"/>
    <mergeCell ref="Q91:S91"/>
    <mergeCell ref="Q90:S90"/>
    <mergeCell ref="L90:N90"/>
    <mergeCell ref="L74:N74"/>
    <mergeCell ref="O74:P74"/>
    <mergeCell ref="L88:N88"/>
    <mergeCell ref="O88:P88"/>
    <mergeCell ref="L81:N81"/>
    <mergeCell ref="L86:N86"/>
    <mergeCell ref="L85:N85"/>
    <mergeCell ref="L79:N79"/>
    <mergeCell ref="L80:N80"/>
    <mergeCell ref="L83:N83"/>
    <mergeCell ref="L76:N76"/>
    <mergeCell ref="O76:P76"/>
    <mergeCell ref="L11:N11"/>
    <mergeCell ref="I13:K13"/>
    <mergeCell ref="I26:K26"/>
    <mergeCell ref="I14:K14"/>
    <mergeCell ref="I15:K15"/>
    <mergeCell ref="L17:N17"/>
    <mergeCell ref="L18:N18"/>
    <mergeCell ref="L19:N19"/>
    <mergeCell ref="C90:E90"/>
    <mergeCell ref="F90:H90"/>
    <mergeCell ref="I90:K90"/>
    <mergeCell ref="C53:E53"/>
    <mergeCell ref="F53:H53"/>
    <mergeCell ref="I53:K53"/>
    <mergeCell ref="F72:H72"/>
    <mergeCell ref="I72:K72"/>
    <mergeCell ref="I62:K62"/>
    <mergeCell ref="I61:K61"/>
    <mergeCell ref="I51:K51"/>
    <mergeCell ref="L26:N26"/>
    <mergeCell ref="I88:K88"/>
    <mergeCell ref="I74:K74"/>
    <mergeCell ref="I27:K27"/>
    <mergeCell ref="I58:K58"/>
    <mergeCell ref="L13:N13"/>
    <mergeCell ref="Q11:S11"/>
    <mergeCell ref="L24:N24"/>
    <mergeCell ref="L25:N25"/>
    <mergeCell ref="I8:K8"/>
    <mergeCell ref="Q8:S8"/>
    <mergeCell ref="I9:K9"/>
    <mergeCell ref="L12:N12"/>
    <mergeCell ref="Q9:S9"/>
    <mergeCell ref="O11:P11"/>
    <mergeCell ref="O12:P12"/>
    <mergeCell ref="O13:P13"/>
    <mergeCell ref="O14:P14"/>
    <mergeCell ref="L14:N14"/>
    <mergeCell ref="O19:P19"/>
    <mergeCell ref="O24:P24"/>
    <mergeCell ref="L15:N15"/>
    <mergeCell ref="Q15:S15"/>
    <mergeCell ref="I23:K23"/>
    <mergeCell ref="L21:N21"/>
    <mergeCell ref="I21:K21"/>
    <mergeCell ref="I18:K18"/>
    <mergeCell ref="O18:P18"/>
    <mergeCell ref="L10:N10"/>
    <mergeCell ref="C15:H15"/>
    <mergeCell ref="O10:P10"/>
    <mergeCell ref="C21:H21"/>
    <mergeCell ref="C10:H10"/>
    <mergeCell ref="I10:K10"/>
    <mergeCell ref="I12:K12"/>
    <mergeCell ref="C23:E23"/>
    <mergeCell ref="Q10:S10"/>
    <mergeCell ref="I48:K48"/>
    <mergeCell ref="F44:H44"/>
    <mergeCell ref="I33:K33"/>
    <mergeCell ref="F42:H42"/>
    <mergeCell ref="Q24:S24"/>
    <mergeCell ref="Q12:S12"/>
    <mergeCell ref="Q13:S13"/>
    <mergeCell ref="L16:N16"/>
    <mergeCell ref="Q14:S14"/>
    <mergeCell ref="L28:N28"/>
    <mergeCell ref="I28:K28"/>
    <mergeCell ref="C17:H17"/>
    <mergeCell ref="C19:H19"/>
    <mergeCell ref="I19:K19"/>
    <mergeCell ref="O23:P23"/>
    <mergeCell ref="O28:P28"/>
    <mergeCell ref="Q25:S25"/>
    <mergeCell ref="Q26:S26"/>
    <mergeCell ref="L27:N27"/>
    <mergeCell ref="L30:N30"/>
    <mergeCell ref="I29:K29"/>
    <mergeCell ref="O15:P15"/>
    <mergeCell ref="O16:P16"/>
    <mergeCell ref="O17:P17"/>
    <mergeCell ref="O25:P25"/>
    <mergeCell ref="O26:P26"/>
    <mergeCell ref="O27:P27"/>
    <mergeCell ref="Q16:S16"/>
    <mergeCell ref="Q17:S17"/>
    <mergeCell ref="Q19:S19"/>
    <mergeCell ref="I17:K17"/>
    <mergeCell ref="I24:K24"/>
    <mergeCell ref="O30:P30"/>
    <mergeCell ref="Q29:S29"/>
    <mergeCell ref="Q30:S30"/>
    <mergeCell ref="Q28:S28"/>
    <mergeCell ref="L23:N23"/>
    <mergeCell ref="F23:H23"/>
    <mergeCell ref="I16:K16"/>
    <mergeCell ref="I37:K37"/>
    <mergeCell ref="I50:K50"/>
    <mergeCell ref="I38:K38"/>
    <mergeCell ref="C47:E47"/>
    <mergeCell ref="F41:H41"/>
    <mergeCell ref="F25:H25"/>
    <mergeCell ref="C29:E29"/>
    <mergeCell ref="F49:H49"/>
    <mergeCell ref="I40:K40"/>
    <mergeCell ref="F48:H48"/>
    <mergeCell ref="I41:K41"/>
    <mergeCell ref="I45:K45"/>
    <mergeCell ref="F37:H37"/>
    <mergeCell ref="I30:K30"/>
    <mergeCell ref="C35:E35"/>
    <mergeCell ref="F24:H24"/>
    <mergeCell ref="F26:H26"/>
    <mergeCell ref="I25:K25"/>
    <mergeCell ref="C18:H18"/>
    <mergeCell ref="F30:H30"/>
    <mergeCell ref="C16:H16"/>
    <mergeCell ref="I36:K36"/>
    <mergeCell ref="Q69:S69"/>
    <mergeCell ref="O67:P67"/>
    <mergeCell ref="L68:N68"/>
    <mergeCell ref="O68:P68"/>
    <mergeCell ref="I60:K60"/>
    <mergeCell ref="I57:K57"/>
    <mergeCell ref="I56:K56"/>
    <mergeCell ref="O69:P69"/>
    <mergeCell ref="I43:K43"/>
    <mergeCell ref="Q51:S51"/>
    <mergeCell ref="I65:K65"/>
    <mergeCell ref="I49:K49"/>
    <mergeCell ref="I39:K39"/>
    <mergeCell ref="C41:E41"/>
    <mergeCell ref="I73:K73"/>
    <mergeCell ref="Q73:S73"/>
    <mergeCell ref="O63:P63"/>
    <mergeCell ref="L66:N66"/>
    <mergeCell ref="O66:P66"/>
    <mergeCell ref="L69:N69"/>
    <mergeCell ref="I66:K66"/>
    <mergeCell ref="Q66:S66"/>
    <mergeCell ref="L70:N70"/>
    <mergeCell ref="I68:K68"/>
    <mergeCell ref="C72:E72"/>
    <mergeCell ref="F55:H55"/>
    <mergeCell ref="F56:H56"/>
    <mergeCell ref="F50:H50"/>
    <mergeCell ref="I46:K46"/>
    <mergeCell ref="I59:K59"/>
    <mergeCell ref="Q67:S67"/>
    <mergeCell ref="O65:P65"/>
    <mergeCell ref="Q71:S71"/>
    <mergeCell ref="C60:E60"/>
    <mergeCell ref="F60:H60"/>
    <mergeCell ref="C66:E66"/>
    <mergeCell ref="C84:E84"/>
    <mergeCell ref="F84:H84"/>
    <mergeCell ref="I84:K84"/>
    <mergeCell ref="F80:H80"/>
    <mergeCell ref="I80:K80"/>
    <mergeCell ref="L59:N59"/>
    <mergeCell ref="I77:K77"/>
    <mergeCell ref="F62:H62"/>
    <mergeCell ref="F74:H74"/>
    <mergeCell ref="I75:K75"/>
    <mergeCell ref="I63:K63"/>
    <mergeCell ref="I71:K71"/>
    <mergeCell ref="F73:H73"/>
    <mergeCell ref="I64:K64"/>
    <mergeCell ref="F63:H63"/>
    <mergeCell ref="I67:K67"/>
    <mergeCell ref="C78:E78"/>
    <mergeCell ref="F78:H78"/>
    <mergeCell ref="I78:K78"/>
    <mergeCell ref="F67:H67"/>
    <mergeCell ref="I76:K76"/>
    <mergeCell ref="F69:H69"/>
    <mergeCell ref="I69:K69"/>
    <mergeCell ref="L67:N67"/>
    <mergeCell ref="V1:X1"/>
    <mergeCell ref="L87:N87"/>
    <mergeCell ref="O87:P87"/>
    <mergeCell ref="F86:H86"/>
    <mergeCell ref="I86:K86"/>
    <mergeCell ref="T59:V59"/>
    <mergeCell ref="F75:H75"/>
    <mergeCell ref="I82:K82"/>
    <mergeCell ref="F79:H79"/>
    <mergeCell ref="Q79:S79"/>
    <mergeCell ref="F85:H85"/>
    <mergeCell ref="I85:K85"/>
    <mergeCell ref="L84:N84"/>
    <mergeCell ref="I83:K83"/>
    <mergeCell ref="Q83:S83"/>
    <mergeCell ref="Q82:S82"/>
    <mergeCell ref="F81:H81"/>
    <mergeCell ref="I81:K81"/>
    <mergeCell ref="I79:K79"/>
    <mergeCell ref="Q77:S77"/>
    <mergeCell ref="O83:P83"/>
    <mergeCell ref="Q72:S72"/>
    <mergeCell ref="Q35:S35"/>
    <mergeCell ref="L58:N58"/>
  </mergeCells>
  <conditionalFormatting sqref="I14:X14 I28:Y28">
    <cfRule type="cellIs" dxfId="73" priority="74" stopIfTrue="1" operator="between">
      <formula>1</formula>
      <formula>0.895</formula>
    </cfRule>
  </conditionalFormatting>
  <conditionalFormatting sqref="I14:X14 I28:X28">
    <cfRule type="cellIs" dxfId="72" priority="70" stopIfTrue="1" operator="between">
      <formula>0.794999999999</formula>
      <formula>0.0001</formula>
    </cfRule>
    <cfRule type="cellIs" dxfId="71" priority="71" stopIfTrue="1" operator="between">
      <formula>0.844999999999999</formula>
      <formula>0.795</formula>
    </cfRule>
    <cfRule type="cellIs" dxfId="70" priority="73" stopIfTrue="1" operator="between">
      <formula>0.8949999999999</formula>
      <formula>0.845</formula>
    </cfRule>
  </conditionalFormatting>
  <conditionalFormatting sqref="C4">
    <cfRule type="containsText" dxfId="69" priority="75" stopIfTrue="1" operator="containsText" text="YOU HAVE UNANSWERED QUESTIONS WHICH WILL AFFECT THE CALCULATED RESULTS - Go to  Enter Results tab.">
      <formula>NOT(ISERROR(SEARCH("YOU HAVE UNANSWERED QUESTIONS WHICH WILL AFFECT THE CALCULATED RESULTS - Go to  Enter Results tab.",C4)))</formula>
    </cfRule>
  </conditionalFormatting>
  <conditionalFormatting sqref="I23:X26">
    <cfRule type="cellIs" dxfId="68" priority="69" stopIfTrue="1" operator="equal">
      <formula>0</formula>
    </cfRule>
  </conditionalFormatting>
  <conditionalFormatting sqref="I27:X28">
    <cfRule type="cellIs" dxfId="67" priority="68" stopIfTrue="1" operator="equal">
      <formula>0</formula>
    </cfRule>
  </conditionalFormatting>
  <conditionalFormatting sqref="I34:X34">
    <cfRule type="cellIs" dxfId="66" priority="67" stopIfTrue="1" operator="between">
      <formula>1</formula>
      <formula>0.895</formula>
    </cfRule>
  </conditionalFormatting>
  <conditionalFormatting sqref="I34:X34">
    <cfRule type="cellIs" dxfId="65" priority="64" stopIfTrue="1" operator="between">
      <formula>0.794999999999</formula>
      <formula>0.0001</formula>
    </cfRule>
    <cfRule type="cellIs" dxfId="64" priority="65" stopIfTrue="1" operator="between">
      <formula>0.844999999999999</formula>
      <formula>0.795</formula>
    </cfRule>
    <cfRule type="cellIs" dxfId="63" priority="66" stopIfTrue="1" operator="between">
      <formula>0.8949999999999</formula>
      <formula>0.845</formula>
    </cfRule>
  </conditionalFormatting>
  <conditionalFormatting sqref="I29:X32">
    <cfRule type="cellIs" dxfId="62" priority="63" stopIfTrue="1" operator="equal">
      <formula>0</formula>
    </cfRule>
  </conditionalFormatting>
  <conditionalFormatting sqref="I33:X34">
    <cfRule type="cellIs" dxfId="61" priority="62" stopIfTrue="1" operator="equal">
      <formula>0</formula>
    </cfRule>
  </conditionalFormatting>
  <conditionalFormatting sqref="I40:X40">
    <cfRule type="cellIs" dxfId="60" priority="61" stopIfTrue="1" operator="between">
      <formula>1</formula>
      <formula>0.895</formula>
    </cfRule>
  </conditionalFormatting>
  <conditionalFormatting sqref="I40:X40">
    <cfRule type="cellIs" dxfId="59" priority="58" stopIfTrue="1" operator="between">
      <formula>0.794999999999</formula>
      <formula>0.0001</formula>
    </cfRule>
    <cfRule type="cellIs" dxfId="58" priority="59" stopIfTrue="1" operator="between">
      <formula>0.844999999999999</formula>
      <formula>0.795</formula>
    </cfRule>
    <cfRule type="cellIs" dxfId="57" priority="60" stopIfTrue="1" operator="between">
      <formula>0.8949999999999</formula>
      <formula>0.845</formula>
    </cfRule>
  </conditionalFormatting>
  <conditionalFormatting sqref="I35:X38">
    <cfRule type="cellIs" dxfId="56" priority="57" stopIfTrue="1" operator="equal">
      <formula>0</formula>
    </cfRule>
  </conditionalFormatting>
  <conditionalFormatting sqref="I39:X40">
    <cfRule type="cellIs" dxfId="55" priority="56" stopIfTrue="1" operator="equal">
      <formula>0</formula>
    </cfRule>
  </conditionalFormatting>
  <conditionalFormatting sqref="I46:X46">
    <cfRule type="cellIs" dxfId="54" priority="55" stopIfTrue="1" operator="between">
      <formula>1</formula>
      <formula>0.895</formula>
    </cfRule>
  </conditionalFormatting>
  <conditionalFormatting sqref="I46:X46">
    <cfRule type="cellIs" dxfId="53" priority="52" stopIfTrue="1" operator="between">
      <formula>0.794999999999</formula>
      <formula>0.0001</formula>
    </cfRule>
    <cfRule type="cellIs" dxfId="52" priority="53" stopIfTrue="1" operator="between">
      <formula>0.844999999999999</formula>
      <formula>0.795</formula>
    </cfRule>
    <cfRule type="cellIs" dxfId="51" priority="54" stopIfTrue="1" operator="between">
      <formula>0.8949999999999</formula>
      <formula>0.845</formula>
    </cfRule>
  </conditionalFormatting>
  <conditionalFormatting sqref="I41:X44">
    <cfRule type="cellIs" dxfId="50" priority="51" stopIfTrue="1" operator="equal">
      <formula>0</formula>
    </cfRule>
  </conditionalFormatting>
  <conditionalFormatting sqref="I45:X46">
    <cfRule type="cellIs" dxfId="49" priority="50" stopIfTrue="1" operator="equal">
      <formula>0</formula>
    </cfRule>
  </conditionalFormatting>
  <conditionalFormatting sqref="I52:X52">
    <cfRule type="cellIs" dxfId="48" priority="49" stopIfTrue="1" operator="between">
      <formula>1</formula>
      <formula>0.895</formula>
    </cfRule>
  </conditionalFormatting>
  <conditionalFormatting sqref="I52:X52">
    <cfRule type="cellIs" dxfId="47" priority="46" stopIfTrue="1" operator="between">
      <formula>0.794999999999</formula>
      <formula>0.0001</formula>
    </cfRule>
    <cfRule type="cellIs" dxfId="46" priority="47" stopIfTrue="1" operator="between">
      <formula>0.844999999999999</formula>
      <formula>0.795</formula>
    </cfRule>
    <cfRule type="cellIs" dxfId="45" priority="48" stopIfTrue="1" operator="between">
      <formula>0.8949999999999</formula>
      <formula>0.845</formula>
    </cfRule>
  </conditionalFormatting>
  <conditionalFormatting sqref="I47:X50">
    <cfRule type="cellIs" dxfId="44" priority="45" stopIfTrue="1" operator="equal">
      <formula>0</formula>
    </cfRule>
  </conditionalFormatting>
  <conditionalFormatting sqref="I51:X52">
    <cfRule type="cellIs" dxfId="43" priority="44" stopIfTrue="1" operator="equal">
      <formula>0</formula>
    </cfRule>
  </conditionalFormatting>
  <conditionalFormatting sqref="I58:X58">
    <cfRule type="cellIs" dxfId="42" priority="43" stopIfTrue="1" operator="between">
      <formula>1</formula>
      <formula>0.895</formula>
    </cfRule>
  </conditionalFormatting>
  <conditionalFormatting sqref="I58:X58">
    <cfRule type="cellIs" dxfId="41" priority="40" stopIfTrue="1" operator="between">
      <formula>0.794999999999</formula>
      <formula>0.0001</formula>
    </cfRule>
    <cfRule type="cellIs" dxfId="40" priority="41" stopIfTrue="1" operator="between">
      <formula>0.844999999999999</formula>
      <formula>0.795</formula>
    </cfRule>
    <cfRule type="cellIs" dxfId="39" priority="42" stopIfTrue="1" operator="between">
      <formula>0.8949999999999</formula>
      <formula>0.845</formula>
    </cfRule>
  </conditionalFormatting>
  <conditionalFormatting sqref="I53:X56">
    <cfRule type="cellIs" dxfId="38" priority="39" stopIfTrue="1" operator="equal">
      <formula>0</formula>
    </cfRule>
  </conditionalFormatting>
  <conditionalFormatting sqref="I57:X58">
    <cfRule type="cellIs" dxfId="37" priority="38" stopIfTrue="1" operator="equal">
      <formula>0</formula>
    </cfRule>
  </conditionalFormatting>
  <conditionalFormatting sqref="I65:X65">
    <cfRule type="cellIs" dxfId="36" priority="37" stopIfTrue="1" operator="between">
      <formula>1</formula>
      <formula>0.895</formula>
    </cfRule>
  </conditionalFormatting>
  <conditionalFormatting sqref="I65:X65">
    <cfRule type="cellIs" dxfId="35" priority="34" stopIfTrue="1" operator="between">
      <formula>0.794999999999</formula>
      <formula>0.0001</formula>
    </cfRule>
    <cfRule type="cellIs" dxfId="34" priority="35" stopIfTrue="1" operator="between">
      <formula>0.844999999999999</formula>
      <formula>0.795</formula>
    </cfRule>
    <cfRule type="cellIs" dxfId="33" priority="36" stopIfTrue="1" operator="between">
      <formula>0.8949999999999</formula>
      <formula>0.845</formula>
    </cfRule>
  </conditionalFormatting>
  <conditionalFormatting sqref="I60:X63">
    <cfRule type="cellIs" dxfId="32" priority="33" stopIfTrue="1" operator="equal">
      <formula>0</formula>
    </cfRule>
  </conditionalFormatting>
  <conditionalFormatting sqref="I64:X65">
    <cfRule type="cellIs" dxfId="31" priority="32" stopIfTrue="1" operator="equal">
      <formula>0</formula>
    </cfRule>
  </conditionalFormatting>
  <conditionalFormatting sqref="I71:X71">
    <cfRule type="cellIs" dxfId="30" priority="31" stopIfTrue="1" operator="between">
      <formula>1</formula>
      <formula>0.895</formula>
    </cfRule>
  </conditionalFormatting>
  <conditionalFormatting sqref="I71:X71">
    <cfRule type="cellIs" dxfId="29" priority="28" stopIfTrue="1" operator="between">
      <formula>0.794999999999</formula>
      <formula>0.0001</formula>
    </cfRule>
    <cfRule type="cellIs" dxfId="28" priority="29" stopIfTrue="1" operator="between">
      <formula>0.844999999999999</formula>
      <formula>0.795</formula>
    </cfRule>
    <cfRule type="cellIs" dxfId="27" priority="30" stopIfTrue="1" operator="between">
      <formula>0.8949999999999</formula>
      <formula>0.845</formula>
    </cfRule>
  </conditionalFormatting>
  <conditionalFormatting sqref="I66:X69">
    <cfRule type="cellIs" dxfId="26" priority="27" stopIfTrue="1" operator="equal">
      <formula>0</formula>
    </cfRule>
  </conditionalFormatting>
  <conditionalFormatting sqref="I70:X71">
    <cfRule type="cellIs" dxfId="25" priority="26" stopIfTrue="1" operator="equal">
      <formula>0</formula>
    </cfRule>
  </conditionalFormatting>
  <conditionalFormatting sqref="I77:X77">
    <cfRule type="cellIs" dxfId="24" priority="25" stopIfTrue="1" operator="between">
      <formula>1</formula>
      <formula>0.895</formula>
    </cfRule>
  </conditionalFormatting>
  <conditionalFormatting sqref="I77:X77">
    <cfRule type="cellIs" dxfId="23" priority="22" stopIfTrue="1" operator="between">
      <formula>0.794999999999</formula>
      <formula>0.0001</formula>
    </cfRule>
    <cfRule type="cellIs" dxfId="22" priority="23" stopIfTrue="1" operator="between">
      <formula>0.844999999999999</formula>
      <formula>0.795</formula>
    </cfRule>
    <cfRule type="cellIs" dxfId="21" priority="24" stopIfTrue="1" operator="between">
      <formula>0.8949999999999</formula>
      <formula>0.845</formula>
    </cfRule>
  </conditionalFormatting>
  <conditionalFormatting sqref="I72:X75">
    <cfRule type="cellIs" dxfId="20" priority="21" stopIfTrue="1" operator="equal">
      <formula>0</formula>
    </cfRule>
  </conditionalFormatting>
  <conditionalFormatting sqref="I76:X77">
    <cfRule type="cellIs" dxfId="19" priority="20" stopIfTrue="1" operator="equal">
      <formula>0</formula>
    </cfRule>
  </conditionalFormatting>
  <conditionalFormatting sqref="I83:X83">
    <cfRule type="cellIs" dxfId="18" priority="19" stopIfTrue="1" operator="between">
      <formula>1</formula>
      <formula>0.895</formula>
    </cfRule>
  </conditionalFormatting>
  <conditionalFormatting sqref="I83:X83">
    <cfRule type="cellIs" dxfId="17" priority="16" stopIfTrue="1" operator="between">
      <formula>0.794999999999</formula>
      <formula>0.0001</formula>
    </cfRule>
    <cfRule type="cellIs" dxfId="16" priority="17" stopIfTrue="1" operator="between">
      <formula>0.844999999999999</formula>
      <formula>0.795</formula>
    </cfRule>
    <cfRule type="cellIs" dxfId="15" priority="18" stopIfTrue="1" operator="between">
      <formula>0.8949999999999</formula>
      <formula>0.845</formula>
    </cfRule>
  </conditionalFormatting>
  <conditionalFormatting sqref="I78:X81">
    <cfRule type="cellIs" dxfId="14" priority="15" stopIfTrue="1" operator="equal">
      <formula>0</formula>
    </cfRule>
  </conditionalFormatting>
  <conditionalFormatting sqref="I82:X83">
    <cfRule type="cellIs" dxfId="13" priority="14" stopIfTrue="1" operator="equal">
      <formula>0</formula>
    </cfRule>
  </conditionalFormatting>
  <conditionalFormatting sqref="I89:X89">
    <cfRule type="cellIs" dxfId="12" priority="13" stopIfTrue="1" operator="between">
      <formula>1</formula>
      <formula>0.895</formula>
    </cfRule>
  </conditionalFormatting>
  <conditionalFormatting sqref="I89:X89">
    <cfRule type="cellIs" dxfId="11" priority="10" stopIfTrue="1" operator="between">
      <formula>0.794999999999</formula>
      <formula>0.0001</formula>
    </cfRule>
    <cfRule type="cellIs" dxfId="10" priority="11" stopIfTrue="1" operator="between">
      <formula>0.844999999999999</formula>
      <formula>0.795</formula>
    </cfRule>
    <cfRule type="cellIs" dxfId="9" priority="12" stopIfTrue="1" operator="between">
      <formula>0.8949999999999</formula>
      <formula>0.845</formula>
    </cfRule>
  </conditionalFormatting>
  <conditionalFormatting sqref="I84:X87">
    <cfRule type="cellIs" dxfId="8" priority="9" stopIfTrue="1" operator="equal">
      <formula>0</formula>
    </cfRule>
  </conditionalFormatting>
  <conditionalFormatting sqref="I88:X89">
    <cfRule type="cellIs" dxfId="7" priority="8" stopIfTrue="1" operator="equal">
      <formula>0</formula>
    </cfRule>
  </conditionalFormatting>
  <conditionalFormatting sqref="I95:X95">
    <cfRule type="cellIs" dxfId="6" priority="7" stopIfTrue="1" operator="between">
      <formula>1</formula>
      <formula>0.895</formula>
    </cfRule>
  </conditionalFormatting>
  <conditionalFormatting sqref="I95:X95">
    <cfRule type="cellIs" dxfId="5" priority="4" stopIfTrue="1" operator="between">
      <formula>0.794999999999</formula>
      <formula>0.0001</formula>
    </cfRule>
    <cfRule type="cellIs" dxfId="4" priority="5" stopIfTrue="1" operator="between">
      <formula>0.844999999999999</formula>
      <formula>0.795</formula>
    </cfRule>
    <cfRule type="cellIs" dxfId="3" priority="6" stopIfTrue="1" operator="between">
      <formula>0.8949999999999</formula>
      <formula>0.845</formula>
    </cfRule>
  </conditionalFormatting>
  <conditionalFormatting sqref="I90:X93">
    <cfRule type="cellIs" dxfId="2" priority="3" stopIfTrue="1" operator="equal">
      <formula>0</formula>
    </cfRule>
  </conditionalFormatting>
  <conditionalFormatting sqref="I94:X95">
    <cfRule type="cellIs" dxfId="1" priority="2" stopIfTrue="1" operator="equal">
      <formula>0</formula>
    </cfRule>
  </conditionalFormatting>
  <conditionalFormatting sqref="I59:X59">
    <cfRule type="cellIs" dxfId="0" priority="1" stopIfTrue="1" operator="equal">
      <formula>0</formula>
    </cfRule>
  </conditionalFormatting>
  <printOptions horizontalCentered="1"/>
  <pageMargins left="0.25" right="0.25" top="0.25" bottom="0.75" header="0" footer="0.25"/>
  <pageSetup scale="74" fitToHeight="2" orientation="portrait" r:id="rId1"/>
  <headerFooter>
    <oddFooter>&amp;L&amp;9© 2015 Horizon Management Services LLC
Date and Time Printed:  &amp;D    &amp;T
Filename:  &amp;Z&amp;F
Worksheet:  &amp;A</oddFooter>
  </headerFooter>
  <rowBreaks count="1" manualBreakCount="1">
    <brk id="58" min="1" max="2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600"/>
    <pageSetUpPr fitToPage="1"/>
  </sheetPr>
  <dimension ref="A1:X51"/>
  <sheetViews>
    <sheetView showGridLines="0" zoomScaleNormal="100" zoomScaleSheetLayoutView="100" workbookViewId="0">
      <selection activeCell="E6" sqref="E6:G6"/>
    </sheetView>
  </sheetViews>
  <sheetFormatPr defaultColWidth="0" defaultRowHeight="15" zeroHeight="1" x14ac:dyDescent="0.25"/>
  <cols>
    <col min="1" max="1" width="0.5703125" style="455" customWidth="1"/>
    <col min="2" max="3" width="9.140625" style="488" customWidth="1"/>
    <col min="4" max="4" width="10.5703125" style="488" bestFit="1" customWidth="1"/>
    <col min="5" max="7" width="9.140625" style="488" customWidth="1"/>
    <col min="8" max="8" width="10.140625" style="488" customWidth="1"/>
    <col min="9" max="11" width="9.140625" style="488" customWidth="1"/>
    <col min="12" max="12" width="0.42578125" style="450" customWidth="1"/>
    <col min="13" max="13" width="9.140625" style="2" hidden="1" customWidth="1"/>
    <col min="14" max="14" width="29.5703125" style="2" hidden="1" customWidth="1"/>
    <col min="15" max="16384" width="9.140625" style="2" hidden="1"/>
  </cols>
  <sheetData>
    <row r="1" spans="1:14" ht="24.95" customHeight="1" thickTop="1" x14ac:dyDescent="0.35">
      <c r="A1" s="454"/>
      <c r="B1" s="497" t="s">
        <v>329</v>
      </c>
      <c r="C1" s="498"/>
      <c r="D1" s="498"/>
      <c r="E1" s="498"/>
      <c r="F1" s="498"/>
      <c r="G1" s="498"/>
      <c r="H1" s="498"/>
      <c r="I1" s="498"/>
      <c r="J1" s="498"/>
      <c r="K1" s="499"/>
      <c r="L1" s="453"/>
      <c r="M1" s="493">
        <v>1</v>
      </c>
      <c r="N1" s="492" t="s">
        <v>332</v>
      </c>
    </row>
    <row r="2" spans="1:14" ht="24.95" customHeight="1" thickBot="1" x14ac:dyDescent="0.3">
      <c r="A2" s="454"/>
      <c r="B2" s="500" t="str">
        <f>"BUSINESS REVIEW v."&amp;RIGHT(Version,3)</f>
        <v>BUSINESS REVIEW v.7.0</v>
      </c>
      <c r="C2" s="501"/>
      <c r="D2" s="501"/>
      <c r="E2" s="501"/>
      <c r="F2" s="501"/>
      <c r="G2" s="501"/>
      <c r="H2" s="501"/>
      <c r="I2" s="501"/>
      <c r="J2" s="501"/>
      <c r="K2" s="502"/>
      <c r="L2" s="453"/>
      <c r="M2" s="165">
        <v>2</v>
      </c>
      <c r="N2" s="258" t="s">
        <v>190</v>
      </c>
    </row>
    <row r="3" spans="1:14" ht="12" customHeight="1" x14ac:dyDescent="0.25">
      <c r="A3" s="454"/>
      <c r="B3" s="384"/>
      <c r="C3" s="385"/>
      <c r="D3" s="385"/>
      <c r="E3" s="385"/>
      <c r="F3" s="385"/>
      <c r="G3" s="385"/>
      <c r="H3" s="385"/>
      <c r="I3" s="385"/>
      <c r="J3" s="385"/>
      <c r="K3" s="385"/>
      <c r="L3" s="453"/>
      <c r="M3" s="165">
        <v>3</v>
      </c>
      <c r="N3" s="258" t="s">
        <v>191</v>
      </c>
    </row>
    <row r="4" spans="1:14" ht="46.5" customHeight="1" thickBot="1" x14ac:dyDescent="0.3">
      <c r="A4" s="454"/>
      <c r="B4" s="508" t="s">
        <v>104</v>
      </c>
      <c r="C4" s="508"/>
      <c r="D4" s="508"/>
      <c r="E4" s="508"/>
      <c r="F4" s="508"/>
      <c r="G4" s="508"/>
      <c r="H4" s="508"/>
      <c r="I4" s="508"/>
      <c r="J4" s="508"/>
      <c r="K4" s="508"/>
      <c r="L4" s="453"/>
      <c r="M4" s="494">
        <v>4</v>
      </c>
      <c r="N4" s="495" t="s">
        <v>333</v>
      </c>
    </row>
    <row r="5" spans="1:14" ht="15.75" thickTop="1" x14ac:dyDescent="0.25"/>
    <row r="6" spans="1:14" x14ac:dyDescent="0.25">
      <c r="B6" s="386" t="s">
        <v>0</v>
      </c>
      <c r="E6" s="510" t="s">
        <v>206</v>
      </c>
      <c r="F6" s="510"/>
      <c r="G6" s="510"/>
      <c r="H6" s="386" t="s">
        <v>1</v>
      </c>
      <c r="I6" s="510" t="s">
        <v>207</v>
      </c>
      <c r="J6" s="510"/>
      <c r="K6" s="510"/>
    </row>
    <row r="7" spans="1:14" x14ac:dyDescent="0.25">
      <c r="B7" s="386" t="s">
        <v>2</v>
      </c>
      <c r="E7" s="510" t="s">
        <v>208</v>
      </c>
      <c r="F7" s="510"/>
      <c r="G7" s="510"/>
      <c r="H7" s="386" t="s">
        <v>106</v>
      </c>
      <c r="J7" s="511" t="s">
        <v>209</v>
      </c>
      <c r="K7" s="512"/>
    </row>
    <row r="8" spans="1:14" x14ac:dyDescent="0.25"/>
    <row r="9" spans="1:14" x14ac:dyDescent="0.25">
      <c r="B9" s="386" t="s">
        <v>55</v>
      </c>
    </row>
    <row r="10" spans="1:14" x14ac:dyDescent="0.25">
      <c r="B10" s="509" t="s">
        <v>101</v>
      </c>
      <c r="C10" s="509"/>
      <c r="D10" s="509"/>
      <c r="E10" s="509"/>
      <c r="F10" s="509"/>
      <c r="G10" s="509"/>
      <c r="H10" s="509"/>
      <c r="I10" s="509"/>
      <c r="J10" s="509"/>
      <c r="K10" s="509"/>
    </row>
    <row r="11" spans="1:14" ht="30" customHeight="1" x14ac:dyDescent="0.25">
      <c r="B11" s="507" t="s">
        <v>102</v>
      </c>
      <c r="C11" s="508"/>
      <c r="D11" s="508"/>
      <c r="E11" s="508"/>
      <c r="F11" s="508"/>
      <c r="G11" s="508"/>
      <c r="H11" s="508"/>
      <c r="I11" s="508"/>
      <c r="J11" s="508"/>
      <c r="K11" s="508"/>
    </row>
    <row r="12" spans="1:14" x14ac:dyDescent="0.25">
      <c r="B12" s="509" t="s">
        <v>25</v>
      </c>
      <c r="C12" s="509"/>
      <c r="D12" s="509"/>
      <c r="E12" s="509"/>
      <c r="F12" s="509"/>
      <c r="G12" s="509"/>
      <c r="H12" s="509"/>
      <c r="I12" s="509"/>
      <c r="J12" s="509"/>
      <c r="K12" s="509"/>
    </row>
    <row r="13" spans="1:14" ht="15" customHeight="1" x14ac:dyDescent="0.25">
      <c r="C13" s="488" t="s">
        <v>75</v>
      </c>
    </row>
    <row r="14" spans="1:14" ht="15" customHeight="1" x14ac:dyDescent="0.25">
      <c r="C14" s="488" t="s">
        <v>76</v>
      </c>
    </row>
    <row r="15" spans="1:14" x14ac:dyDescent="0.25">
      <c r="C15" s="488" t="s">
        <v>77</v>
      </c>
    </row>
    <row r="16" spans="1:14" x14ac:dyDescent="0.25">
      <c r="C16" s="488" t="s">
        <v>235</v>
      </c>
    </row>
    <row r="17" spans="1:24" s="490" customFormat="1" ht="30" customHeight="1" x14ac:dyDescent="0.25">
      <c r="A17" s="455"/>
      <c r="B17" s="508" t="s">
        <v>254</v>
      </c>
      <c r="C17" s="508"/>
      <c r="D17" s="508"/>
      <c r="E17" s="508"/>
      <c r="F17" s="508"/>
      <c r="G17" s="508"/>
      <c r="H17" s="508"/>
      <c r="I17" s="508"/>
      <c r="J17" s="508"/>
      <c r="K17" s="508"/>
      <c r="L17" s="489"/>
      <c r="O17" s="488"/>
      <c r="P17" s="488"/>
      <c r="Q17" s="488"/>
      <c r="R17" s="488"/>
      <c r="S17" s="488"/>
      <c r="T17" s="488"/>
      <c r="U17" s="488"/>
      <c r="V17" s="488"/>
      <c r="W17" s="488"/>
      <c r="X17" s="488"/>
    </row>
    <row r="18" spans="1:24" s="490" customFormat="1" x14ac:dyDescent="0.25">
      <c r="A18" s="455"/>
      <c r="B18" s="508" t="s">
        <v>103</v>
      </c>
      <c r="C18" s="508"/>
      <c r="D18" s="508"/>
      <c r="E18" s="508"/>
      <c r="F18" s="508"/>
      <c r="G18" s="508"/>
      <c r="H18" s="508"/>
      <c r="I18" s="508"/>
      <c r="J18" s="508"/>
      <c r="K18" s="508"/>
      <c r="L18" s="489"/>
      <c r="O18" s="488"/>
      <c r="P18" s="488"/>
      <c r="Q18" s="488"/>
      <c r="R18" s="488"/>
      <c r="S18" s="488"/>
      <c r="T18" s="488"/>
      <c r="U18" s="488"/>
      <c r="V18" s="488"/>
      <c r="W18" s="488"/>
      <c r="X18" s="488"/>
    </row>
    <row r="19" spans="1:24" ht="30" customHeight="1" x14ac:dyDescent="0.25">
      <c r="B19" s="508" t="s">
        <v>181</v>
      </c>
      <c r="C19" s="508"/>
      <c r="D19" s="508"/>
      <c r="E19" s="508"/>
      <c r="F19" s="508"/>
      <c r="G19" s="508"/>
      <c r="H19" s="508"/>
      <c r="I19" s="508"/>
      <c r="J19" s="508"/>
      <c r="K19" s="508"/>
      <c r="O19" s="488"/>
      <c r="P19" s="488"/>
      <c r="Q19" s="488"/>
      <c r="R19" s="488"/>
      <c r="S19" s="488"/>
      <c r="T19" s="488"/>
      <c r="U19" s="488"/>
      <c r="V19" s="488"/>
      <c r="W19" s="488"/>
      <c r="X19" s="488"/>
    </row>
    <row r="20" spans="1:24" ht="14.45" customHeight="1" x14ac:dyDescent="0.25">
      <c r="B20" s="508" t="s">
        <v>182</v>
      </c>
      <c r="C20" s="508"/>
      <c r="D20" s="508"/>
      <c r="E20" s="508"/>
      <c r="F20" s="508"/>
      <c r="G20" s="508"/>
      <c r="H20" s="508"/>
      <c r="I20" s="508"/>
      <c r="J20" s="508"/>
      <c r="K20" s="508"/>
    </row>
    <row r="21" spans="1:24" x14ac:dyDescent="0.25"/>
    <row r="22" spans="1:24" x14ac:dyDescent="0.25">
      <c r="B22" s="384" t="s">
        <v>21</v>
      </c>
      <c r="C22" s="385"/>
      <c r="D22" s="385"/>
      <c r="E22" s="385"/>
      <c r="F22" s="384"/>
      <c r="G22" s="385"/>
      <c r="H22" s="385"/>
      <c r="I22" s="385"/>
      <c r="J22" s="385"/>
      <c r="K22" s="385"/>
    </row>
    <row r="23" spans="1:24" ht="15" customHeight="1" x14ac:dyDescent="0.25">
      <c r="B23" s="387"/>
      <c r="C23" s="388"/>
      <c r="D23" s="389" t="s">
        <v>180</v>
      </c>
      <c r="E23" s="390" t="s">
        <v>17</v>
      </c>
      <c r="F23" s="513" t="s">
        <v>20</v>
      </c>
      <c r="G23" s="514"/>
      <c r="H23" s="515"/>
      <c r="I23" s="516"/>
      <c r="J23" s="390" t="s">
        <v>16</v>
      </c>
      <c r="K23" s="390" t="s">
        <v>8</v>
      </c>
    </row>
    <row r="24" spans="1:24" x14ac:dyDescent="0.25">
      <c r="B24" s="391"/>
      <c r="C24" s="392"/>
      <c r="D24" s="393" t="s">
        <v>179</v>
      </c>
      <c r="E24" s="394" t="s">
        <v>18</v>
      </c>
      <c r="F24" s="395">
        <v>1</v>
      </c>
      <c r="G24" s="396">
        <v>2</v>
      </c>
      <c r="H24" s="396">
        <v>3</v>
      </c>
      <c r="I24" s="397">
        <v>4</v>
      </c>
      <c r="J24" s="394" t="s">
        <v>18</v>
      </c>
      <c r="K24" s="394"/>
    </row>
    <row r="25" spans="1:24" x14ac:dyDescent="0.25">
      <c r="B25" s="244" t="s">
        <v>3</v>
      </c>
      <c r="C25" s="245"/>
      <c r="D25" s="246">
        <v>30</v>
      </c>
      <c r="E25" s="247">
        <f t="shared" ref="E25:E30" si="0">D25*4</f>
        <v>120</v>
      </c>
      <c r="F25" s="398">
        <f>COUNTIF(SCORESm,1)</f>
        <v>0</v>
      </c>
      <c r="G25" s="399">
        <f>COUNTIF(SCORESm,2)</f>
        <v>0</v>
      </c>
      <c r="H25" s="399">
        <f>COUNTIF(SCORESm,3)</f>
        <v>0</v>
      </c>
      <c r="I25" s="400">
        <f>COUNTIF(SCORESm,4)</f>
        <v>0</v>
      </c>
      <c r="J25" s="247">
        <f>TotalM</f>
        <v>0</v>
      </c>
      <c r="K25" s="401" t="str">
        <f t="shared" ref="K25:K30" si="1">IF(M25=0,J25/E25,"")</f>
        <v/>
      </c>
      <c r="M25" s="40">
        <f>QuestionsManagement-SUM(F25:I25)</f>
        <v>30</v>
      </c>
    </row>
    <row r="26" spans="1:24" x14ac:dyDescent="0.25">
      <c r="B26" s="244" t="s">
        <v>4</v>
      </c>
      <c r="C26" s="245"/>
      <c r="D26" s="246">
        <v>18</v>
      </c>
      <c r="E26" s="247">
        <f t="shared" si="0"/>
        <v>72</v>
      </c>
      <c r="F26" s="398">
        <f>COUNTIF(SCORESf,1)</f>
        <v>0</v>
      </c>
      <c r="G26" s="399">
        <f>COUNTIF(SCORESf,2)</f>
        <v>0</v>
      </c>
      <c r="H26" s="399">
        <f>COUNTIF(SCORESf,3)</f>
        <v>0</v>
      </c>
      <c r="I26" s="400">
        <f>COUNTIF(SCORESf,4)</f>
        <v>0</v>
      </c>
      <c r="J26" s="247">
        <f>TotalF</f>
        <v>0</v>
      </c>
      <c r="K26" s="401" t="str">
        <f t="shared" si="1"/>
        <v/>
      </c>
      <c r="M26" s="40">
        <f>QuestionsFinance-SUM(F26:I26)</f>
        <v>18</v>
      </c>
    </row>
    <row r="27" spans="1:24" x14ac:dyDescent="0.25">
      <c r="B27" s="244" t="s">
        <v>5</v>
      </c>
      <c r="C27" s="245"/>
      <c r="D27" s="246">
        <v>17</v>
      </c>
      <c r="E27" s="247">
        <f t="shared" si="0"/>
        <v>68</v>
      </c>
      <c r="F27" s="398">
        <f>COUNTIF(SCORESs,1)</f>
        <v>0</v>
      </c>
      <c r="G27" s="399">
        <f>COUNTIF(SCORESs,2)</f>
        <v>0</v>
      </c>
      <c r="H27" s="399">
        <f>COUNTIF(SCORESs,3)</f>
        <v>0</v>
      </c>
      <c r="I27" s="400">
        <f>COUNTIF(SCORESs,4)</f>
        <v>0</v>
      </c>
      <c r="J27" s="247">
        <f>TotalS</f>
        <v>0</v>
      </c>
      <c r="K27" s="401" t="str">
        <f t="shared" si="1"/>
        <v/>
      </c>
      <c r="M27" s="40">
        <f>QuestionsSales-SUM(F27:I27)</f>
        <v>17</v>
      </c>
    </row>
    <row r="28" spans="1:24" x14ac:dyDescent="0.25">
      <c r="B28" s="244" t="s">
        <v>248</v>
      </c>
      <c r="C28" s="245"/>
      <c r="D28" s="246">
        <v>25</v>
      </c>
      <c r="E28" s="247">
        <f t="shared" si="0"/>
        <v>100</v>
      </c>
      <c r="F28" s="398">
        <f>COUNTIF(SCORESo,1)</f>
        <v>0</v>
      </c>
      <c r="G28" s="399">
        <f>COUNTIF(SCORESo,2)</f>
        <v>0</v>
      </c>
      <c r="H28" s="399">
        <f>COUNTIF(SCORESo,3)</f>
        <v>0</v>
      </c>
      <c r="I28" s="400">
        <f>COUNTIF(SCORESo,4)</f>
        <v>0</v>
      </c>
      <c r="J28" s="247">
        <f>TotalO</f>
        <v>0</v>
      </c>
      <c r="K28" s="401" t="str">
        <f t="shared" si="1"/>
        <v/>
      </c>
      <c r="M28" s="40">
        <f>QuestionsOperations-SUM(F28:I28)</f>
        <v>25</v>
      </c>
    </row>
    <row r="29" spans="1:24" x14ac:dyDescent="0.25">
      <c r="B29" s="244" t="s">
        <v>15</v>
      </c>
      <c r="C29" s="245"/>
      <c r="D29" s="246">
        <v>18</v>
      </c>
      <c r="E29" s="247">
        <f t="shared" si="0"/>
        <v>72</v>
      </c>
      <c r="F29" s="398">
        <f>COUNTIF(SCORESw,1)</f>
        <v>0</v>
      </c>
      <c r="G29" s="399">
        <f>COUNTIF(SCORESw,2)</f>
        <v>0</v>
      </c>
      <c r="H29" s="399">
        <f>COUNTIF(SCORESw,3)</f>
        <v>0</v>
      </c>
      <c r="I29" s="400">
        <f>COUNTIF(SCORESw,4)</f>
        <v>0</v>
      </c>
      <c r="J29" s="247">
        <f>TotalW</f>
        <v>0</v>
      </c>
      <c r="K29" s="402" t="str">
        <f t="shared" si="1"/>
        <v/>
      </c>
      <c r="M29" s="40">
        <f>QuestionsWarehouse-SUM(F29:I29)</f>
        <v>18</v>
      </c>
    </row>
    <row r="30" spans="1:24" x14ac:dyDescent="0.25">
      <c r="B30" s="244" t="s">
        <v>6</v>
      </c>
      <c r="C30" s="245"/>
      <c r="D30" s="246">
        <v>16</v>
      </c>
      <c r="E30" s="247">
        <f t="shared" si="0"/>
        <v>64</v>
      </c>
      <c r="F30" s="398">
        <f>COUNTIF(SCORESr,1)</f>
        <v>0</v>
      </c>
      <c r="G30" s="399">
        <f>COUNTIF(SCORESr,2)</f>
        <v>0</v>
      </c>
      <c r="H30" s="399">
        <f>COUNTIF(SCORESr,3)</f>
        <v>0</v>
      </c>
      <c r="I30" s="400">
        <f>COUNTIF(SCORESr,4)</f>
        <v>0</v>
      </c>
      <c r="J30" s="247">
        <f>TotalR</f>
        <v>0</v>
      </c>
      <c r="K30" s="401" t="str">
        <f t="shared" si="1"/>
        <v/>
      </c>
      <c r="M30" s="40">
        <f>QuestionsRiskManagement-SUM(F30:I30)</f>
        <v>16</v>
      </c>
    </row>
    <row r="31" spans="1:24" ht="2.25" customHeight="1" x14ac:dyDescent="0.25">
      <c r="B31" s="244"/>
      <c r="C31" s="245"/>
      <c r="D31" s="245"/>
      <c r="E31" s="247"/>
      <c r="F31" s="403"/>
      <c r="G31" s="404"/>
      <c r="H31" s="404"/>
      <c r="I31" s="405"/>
      <c r="J31" s="247"/>
      <c r="K31" s="406"/>
      <c r="M31" s="408"/>
    </row>
    <row r="32" spans="1:24" ht="15.75" thickBot="1" x14ac:dyDescent="0.3">
      <c r="B32" s="244" t="s">
        <v>7</v>
      </c>
      <c r="C32" s="245"/>
      <c r="D32" s="246">
        <f>SUM(D25:D31)</f>
        <v>124</v>
      </c>
      <c r="E32" s="247">
        <f>SUM(E25:E30)</f>
        <v>496</v>
      </c>
      <c r="F32" s="403">
        <f>SUM(F25:F30)</f>
        <v>0</v>
      </c>
      <c r="G32" s="404">
        <f>SUM(G25:G30)</f>
        <v>0</v>
      </c>
      <c r="H32" s="404">
        <f>SUM(H25:H30)</f>
        <v>0</v>
      </c>
      <c r="I32" s="405">
        <f>SUM(I25:I30)</f>
        <v>0</v>
      </c>
      <c r="J32" s="247">
        <f>SUM(J25:J31)</f>
        <v>0</v>
      </c>
      <c r="K32" s="402" t="str">
        <f>IF(M32=0,J32/E32,"")</f>
        <v/>
      </c>
      <c r="M32" s="409">
        <f>SUM(M25:M30)</f>
        <v>124</v>
      </c>
    </row>
    <row r="33" spans="2:14" ht="12.75" customHeight="1" thickBot="1" x14ac:dyDescent="0.3">
      <c r="M33" s="277" t="str">
        <f>IF(OR(M32=0,M32=D32),"","Unanswered Questions")</f>
        <v/>
      </c>
      <c r="N33" s="278"/>
    </row>
    <row r="34" spans="2:14" x14ac:dyDescent="0.25">
      <c r="B34" s="228" t="s">
        <v>64</v>
      </c>
      <c r="C34" s="229"/>
      <c r="D34" s="230"/>
      <c r="F34" s="505" t="str">
        <f>IF(M33="Unanswered Questions","You have Unanswered Questions","")</f>
        <v/>
      </c>
      <c r="G34" s="506"/>
      <c r="H34" s="506"/>
      <c r="I34" s="506"/>
      <c r="J34" s="506"/>
    </row>
    <row r="35" spans="2:14" x14ac:dyDescent="0.25">
      <c r="B35" s="225" t="s">
        <v>62</v>
      </c>
      <c r="C35" s="226" t="s">
        <v>10</v>
      </c>
      <c r="D35" s="227"/>
      <c r="F35" s="506"/>
      <c r="G35" s="506"/>
      <c r="H35" s="506"/>
      <c r="I35" s="506"/>
      <c r="J35" s="506"/>
    </row>
    <row r="36" spans="2:14" ht="15.75" thickBot="1" x14ac:dyDescent="0.3">
      <c r="B36" s="221" t="s">
        <v>60</v>
      </c>
      <c r="C36" s="74" t="s">
        <v>174</v>
      </c>
      <c r="D36" s="113"/>
      <c r="F36" s="506"/>
      <c r="G36" s="506"/>
      <c r="H36" s="506"/>
      <c r="I36" s="506"/>
      <c r="J36" s="506"/>
    </row>
    <row r="37" spans="2:14" ht="15.75" thickBot="1" x14ac:dyDescent="0.3">
      <c r="B37" s="222" t="s">
        <v>137</v>
      </c>
      <c r="C37" s="74" t="s">
        <v>175</v>
      </c>
      <c r="D37" s="113"/>
      <c r="F37" s="506"/>
      <c r="G37" s="506"/>
      <c r="H37" s="506"/>
      <c r="I37" s="506"/>
      <c r="J37" s="506"/>
    </row>
    <row r="38" spans="2:14" ht="15.75" thickBot="1" x14ac:dyDescent="0.3">
      <c r="B38" s="223" t="s">
        <v>61</v>
      </c>
      <c r="C38" s="74" t="s">
        <v>176</v>
      </c>
      <c r="D38" s="113"/>
      <c r="F38" s="506"/>
      <c r="G38" s="506"/>
      <c r="H38" s="506"/>
      <c r="I38" s="506"/>
      <c r="J38" s="506"/>
    </row>
    <row r="39" spans="2:14" x14ac:dyDescent="0.25">
      <c r="B39" s="224" t="s">
        <v>138</v>
      </c>
      <c r="C39" s="195" t="s">
        <v>177</v>
      </c>
      <c r="D39" s="115"/>
      <c r="F39" s="506"/>
      <c r="G39" s="506"/>
      <c r="H39" s="506"/>
      <c r="I39" s="506"/>
      <c r="J39" s="506"/>
    </row>
    <row r="40" spans="2:14" ht="5.25" customHeight="1" x14ac:dyDescent="0.25">
      <c r="E40" s="41"/>
      <c r="F40" s="407"/>
    </row>
    <row r="41" spans="2:14" x14ac:dyDescent="0.25">
      <c r="B41" s="491" t="s">
        <v>334</v>
      </c>
      <c r="K41" s="496" t="s">
        <v>335</v>
      </c>
    </row>
    <row r="42" spans="2:14" ht="15" hidden="1" customHeight="1" x14ac:dyDescent="0.25"/>
    <row r="43" spans="2:14" hidden="1" x14ac:dyDescent="0.25"/>
    <row r="44" spans="2:14" hidden="1" x14ac:dyDescent="0.25"/>
    <row r="45" spans="2:14" hidden="1" x14ac:dyDescent="0.25"/>
    <row r="46" spans="2:14" hidden="1" x14ac:dyDescent="0.25"/>
    <row r="47" spans="2:14" hidden="1" x14ac:dyDescent="0.25"/>
    <row r="48" spans="2:14" hidden="1" x14ac:dyDescent="0.25"/>
    <row r="49" hidden="1" x14ac:dyDescent="0.25"/>
    <row r="50" hidden="1" x14ac:dyDescent="0.25"/>
    <row r="51" hidden="1" x14ac:dyDescent="0.25"/>
  </sheetData>
  <sheetProtection algorithmName="SHA-512" hashValue="dwHiFCef/OuKF0PMMeZFxSW8jGQIgtzsGSfOZhtjmMbJV8TlT7PenEf5RHRrOR7BN8BQkUzP0uChAdu19zKveA==" saltValue="ztHFHoGkhez0yYPN32lePg==" spinCount="100000" sheet="1" objects="1" scenarios="1" selectLockedCells="1"/>
  <mergeCells count="14">
    <mergeCell ref="F34:J39"/>
    <mergeCell ref="B11:K11"/>
    <mergeCell ref="B12:K12"/>
    <mergeCell ref="B4:K4"/>
    <mergeCell ref="E6:G6"/>
    <mergeCell ref="E7:G7"/>
    <mergeCell ref="I6:K6"/>
    <mergeCell ref="J7:K7"/>
    <mergeCell ref="B10:K10"/>
    <mergeCell ref="B17:K17"/>
    <mergeCell ref="F23:I23"/>
    <mergeCell ref="B20:K20"/>
    <mergeCell ref="B18:K18"/>
    <mergeCell ref="B19:K19"/>
  </mergeCells>
  <conditionalFormatting sqref="K25:K30 K32">
    <cfRule type="cellIs" dxfId="315" priority="2" stopIfTrue="1" operator="between">
      <formula>1</formula>
      <formula>0.895</formula>
    </cfRule>
    <cfRule type="cellIs" dxfId="314" priority="3" stopIfTrue="1" operator="between">
      <formula>0.894999999999999</formula>
      <formula>0.845</formula>
    </cfRule>
    <cfRule type="cellIs" dxfId="313" priority="4" stopIfTrue="1" operator="between">
      <formula>0.844999999999999</formula>
      <formula>0.795</formula>
    </cfRule>
    <cfRule type="cellIs" dxfId="312" priority="5" stopIfTrue="1" operator="between">
      <formula>0.794999999999999</formula>
      <formula>0.0001</formula>
    </cfRule>
  </conditionalFormatting>
  <conditionalFormatting sqref="F34:J39">
    <cfRule type="cellIs" dxfId="311" priority="1" stopIfTrue="1" operator="equal">
      <formula>"You have Unanswered Questions"</formula>
    </cfRule>
  </conditionalFormatting>
  <printOptions horizontalCentered="1"/>
  <pageMargins left="0.25" right="0.25" top="0.5" bottom="0.75" header="0" footer="0.25"/>
  <pageSetup orientation="portrait" r:id="rId1"/>
  <headerFooter>
    <oddFooter>&amp;L&amp;9© 2015 Horizon Management Services LLC
Date and Time Printed:  &amp;D    &amp;T
Filename:  &amp;Z&amp;F
Worksheet:  &amp;A      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99"/>
    <pageSetUpPr fitToPage="1"/>
  </sheetPr>
  <dimension ref="A1:L49"/>
  <sheetViews>
    <sheetView showGridLines="0" showRowColHeaders="0" zoomScaleNormal="100" zoomScaleSheetLayoutView="100" workbookViewId="0">
      <selection activeCell="C7" sqref="C7"/>
    </sheetView>
  </sheetViews>
  <sheetFormatPr defaultColWidth="0" defaultRowHeight="15" zeroHeight="1" x14ac:dyDescent="0.25"/>
  <cols>
    <col min="1" max="1" width="5.5703125" style="417" customWidth="1"/>
    <col min="2" max="2" width="100.5703125" style="39" customWidth="1"/>
    <col min="3" max="3" width="5.5703125" style="41" customWidth="1"/>
    <col min="4" max="4" width="29.28515625" style="41" customWidth="1"/>
    <col min="5" max="5" width="0.42578125" style="47" customWidth="1"/>
    <col min="6" max="6" width="9.140625" style="39" hidden="1" customWidth="1"/>
    <col min="7" max="7" width="6.5703125" style="40" hidden="1" customWidth="1"/>
    <col min="8" max="16384" width="0" style="39" hidden="1"/>
  </cols>
  <sheetData>
    <row r="1" spans="1:12" x14ac:dyDescent="0.25">
      <c r="B1" s="166" t="str">
        <f>CONCATENATE(ReviewCompany,"    -    ",ReviewPerson)</f>
        <v>(Company Name)    -    (Your Name)</v>
      </c>
      <c r="J1" s="378"/>
      <c r="K1" s="379"/>
      <c r="L1" s="379"/>
    </row>
    <row r="2" spans="1:12" ht="18.75" x14ac:dyDescent="0.25">
      <c r="B2" s="231" t="s">
        <v>178</v>
      </c>
      <c r="J2" s="378"/>
      <c r="K2" s="379"/>
      <c r="L2" s="379"/>
    </row>
    <row r="3" spans="1:12" ht="18.75" x14ac:dyDescent="0.25">
      <c r="B3" s="167" t="s">
        <v>9</v>
      </c>
      <c r="C3" s="36"/>
      <c r="D3" s="52"/>
      <c r="E3" s="37"/>
      <c r="F3" s="38"/>
      <c r="J3" s="378"/>
      <c r="K3" s="379"/>
      <c r="L3" s="379"/>
    </row>
    <row r="4" spans="1:12" x14ac:dyDescent="0.25">
      <c r="D4" s="42"/>
      <c r="E4" s="43"/>
      <c r="F4" s="44"/>
      <c r="J4" s="378"/>
      <c r="K4" s="379"/>
      <c r="L4" s="379"/>
    </row>
    <row r="5" spans="1:12" x14ac:dyDescent="0.25">
      <c r="B5" s="51" t="s">
        <v>19</v>
      </c>
      <c r="C5" s="160" t="s">
        <v>10</v>
      </c>
      <c r="E5" s="45"/>
      <c r="F5" s="46"/>
    </row>
    <row r="6" spans="1:12" s="174" customFormat="1" ht="2.25" customHeight="1" x14ac:dyDescent="0.25">
      <c r="A6" s="418"/>
      <c r="B6" s="162"/>
      <c r="C6" s="176"/>
      <c r="D6" s="169"/>
      <c r="E6" s="173"/>
    </row>
    <row r="7" spans="1:12" s="174" customFormat="1" ht="17.25" customHeight="1" x14ac:dyDescent="0.25">
      <c r="A7" s="418"/>
      <c r="B7" s="162" t="s">
        <v>232</v>
      </c>
      <c r="C7" s="168"/>
      <c r="D7" s="169" t="str">
        <f>IF(AND(C7&gt;=1,C7&lt;=4,INT(C7)=C7),VLOOKUP(C7,AnswerMatrix,2),"")</f>
        <v/>
      </c>
      <c r="E7" s="173"/>
    </row>
    <row r="8" spans="1:12" s="174" customFormat="1" ht="17.25" customHeight="1" x14ac:dyDescent="0.25">
      <c r="A8" s="418"/>
      <c r="B8" s="162" t="s">
        <v>70</v>
      </c>
      <c r="C8" s="168"/>
      <c r="D8" s="169" t="str">
        <f t="shared" ref="D8:D36" si="0">IF(AND(C8&gt;=1,C8&lt;=4,INT(C8)=C8),VLOOKUP(C8,AnswerMatrix,2),"")</f>
        <v/>
      </c>
      <c r="E8" s="173"/>
    </row>
    <row r="9" spans="1:12" s="174" customFormat="1" ht="17.25" customHeight="1" x14ac:dyDescent="0.25">
      <c r="A9" s="418"/>
      <c r="B9" s="163" t="s">
        <v>255</v>
      </c>
      <c r="C9" s="168"/>
      <c r="D9" s="169" t="str">
        <f t="shared" si="0"/>
        <v/>
      </c>
      <c r="E9" s="173"/>
    </row>
    <row r="10" spans="1:12" s="174" customFormat="1" ht="17.25" customHeight="1" x14ac:dyDescent="0.25">
      <c r="A10" s="418"/>
      <c r="B10" s="162" t="s">
        <v>71</v>
      </c>
      <c r="C10" s="168"/>
      <c r="D10" s="169" t="str">
        <f t="shared" si="0"/>
        <v/>
      </c>
      <c r="E10" s="173"/>
    </row>
    <row r="11" spans="1:12" s="174" customFormat="1" ht="17.25" customHeight="1" x14ac:dyDescent="0.25">
      <c r="A11" s="418"/>
      <c r="B11" s="162" t="s">
        <v>26</v>
      </c>
      <c r="C11" s="168"/>
      <c r="D11" s="169" t="str">
        <f t="shared" si="0"/>
        <v/>
      </c>
      <c r="E11" s="173"/>
    </row>
    <row r="12" spans="1:12" s="174" customFormat="1" ht="17.25" customHeight="1" x14ac:dyDescent="0.25">
      <c r="A12" s="418"/>
      <c r="B12" s="162" t="s">
        <v>256</v>
      </c>
      <c r="C12" s="168"/>
      <c r="D12" s="169" t="str">
        <f t="shared" si="0"/>
        <v/>
      </c>
      <c r="E12" s="173"/>
    </row>
    <row r="13" spans="1:12" s="174" customFormat="1" ht="17.25" customHeight="1" x14ac:dyDescent="0.25">
      <c r="A13" s="418"/>
      <c r="B13" s="162" t="s">
        <v>236</v>
      </c>
      <c r="C13" s="168"/>
      <c r="D13" s="169" t="str">
        <f t="shared" si="0"/>
        <v/>
      </c>
      <c r="E13" s="173"/>
    </row>
    <row r="14" spans="1:12" s="174" customFormat="1" ht="17.25" customHeight="1" x14ac:dyDescent="0.25">
      <c r="A14" s="418"/>
      <c r="B14" s="162" t="s">
        <v>257</v>
      </c>
      <c r="C14" s="168"/>
      <c r="D14" s="169" t="str">
        <f t="shared" si="0"/>
        <v/>
      </c>
      <c r="E14" s="173"/>
    </row>
    <row r="15" spans="1:12" s="174" customFormat="1" ht="17.25" customHeight="1" x14ac:dyDescent="0.25">
      <c r="A15" s="418"/>
      <c r="B15" s="162" t="s">
        <v>27</v>
      </c>
      <c r="C15" s="168"/>
      <c r="D15" s="169" t="str">
        <f t="shared" si="0"/>
        <v/>
      </c>
      <c r="E15" s="173"/>
    </row>
    <row r="16" spans="1:12" s="174" customFormat="1" ht="17.25" customHeight="1" x14ac:dyDescent="0.25">
      <c r="A16" s="418"/>
      <c r="B16" s="162" t="s">
        <v>28</v>
      </c>
      <c r="C16" s="168"/>
      <c r="D16" s="169" t="str">
        <f t="shared" si="0"/>
        <v/>
      </c>
      <c r="E16" s="173"/>
    </row>
    <row r="17" spans="1:5" s="174" customFormat="1" ht="17.25" customHeight="1" x14ac:dyDescent="0.25">
      <c r="A17" s="418"/>
      <c r="B17" s="162" t="s">
        <v>258</v>
      </c>
      <c r="C17" s="168"/>
      <c r="D17" s="169" t="str">
        <f t="shared" si="0"/>
        <v/>
      </c>
      <c r="E17" s="173"/>
    </row>
    <row r="18" spans="1:5" s="174" customFormat="1" ht="17.25" customHeight="1" x14ac:dyDescent="0.25">
      <c r="A18" s="418"/>
      <c r="B18" s="162" t="s">
        <v>259</v>
      </c>
      <c r="C18" s="168"/>
      <c r="D18" s="169" t="str">
        <f t="shared" si="0"/>
        <v/>
      </c>
      <c r="E18" s="173"/>
    </row>
    <row r="19" spans="1:5" s="174" customFormat="1" ht="17.25" customHeight="1" x14ac:dyDescent="0.25">
      <c r="A19" s="418"/>
      <c r="B19" s="162" t="s">
        <v>260</v>
      </c>
      <c r="C19" s="168"/>
      <c r="D19" s="169" t="str">
        <f t="shared" si="0"/>
        <v/>
      </c>
      <c r="E19" s="173"/>
    </row>
    <row r="20" spans="1:5" s="174" customFormat="1" ht="17.25" customHeight="1" x14ac:dyDescent="0.25">
      <c r="A20" s="418"/>
      <c r="B20" s="163" t="s">
        <v>261</v>
      </c>
      <c r="C20" s="168"/>
      <c r="D20" s="169" t="str">
        <f t="shared" si="0"/>
        <v/>
      </c>
      <c r="E20" s="173"/>
    </row>
    <row r="21" spans="1:5" s="174" customFormat="1" ht="17.25" customHeight="1" x14ac:dyDescent="0.25">
      <c r="A21" s="418"/>
      <c r="B21" s="162" t="s">
        <v>72</v>
      </c>
      <c r="C21" s="168"/>
      <c r="D21" s="169" t="str">
        <f t="shared" si="0"/>
        <v/>
      </c>
      <c r="E21" s="173"/>
    </row>
    <row r="22" spans="1:5" s="174" customFormat="1" ht="17.25" customHeight="1" x14ac:dyDescent="0.25">
      <c r="A22" s="418"/>
      <c r="B22" s="162" t="s">
        <v>73</v>
      </c>
      <c r="C22" s="168"/>
      <c r="D22" s="169" t="str">
        <f t="shared" si="0"/>
        <v/>
      </c>
      <c r="E22" s="173"/>
    </row>
    <row r="23" spans="1:5" s="174" customFormat="1" ht="17.25" customHeight="1" x14ac:dyDescent="0.25">
      <c r="A23" s="418"/>
      <c r="B23" s="162" t="s">
        <v>262</v>
      </c>
      <c r="C23" s="168"/>
      <c r="D23" s="169" t="str">
        <f t="shared" si="0"/>
        <v/>
      </c>
      <c r="E23" s="173"/>
    </row>
    <row r="24" spans="1:5" s="174" customFormat="1" ht="17.25" customHeight="1" x14ac:dyDescent="0.25">
      <c r="A24" s="418"/>
      <c r="B24" s="163" t="s">
        <v>263</v>
      </c>
      <c r="C24" s="168"/>
      <c r="D24" s="169" t="str">
        <f t="shared" si="0"/>
        <v/>
      </c>
      <c r="E24" s="173"/>
    </row>
    <row r="25" spans="1:5" s="174" customFormat="1" ht="17.25" customHeight="1" x14ac:dyDescent="0.25">
      <c r="A25" s="418"/>
      <c r="B25" s="162" t="s">
        <v>29</v>
      </c>
      <c r="C25" s="168"/>
      <c r="D25" s="169" t="str">
        <f t="shared" si="0"/>
        <v/>
      </c>
      <c r="E25" s="173"/>
    </row>
    <row r="26" spans="1:5" s="174" customFormat="1" ht="17.25" customHeight="1" x14ac:dyDescent="0.25">
      <c r="A26" s="418"/>
      <c r="B26" s="162" t="s">
        <v>30</v>
      </c>
      <c r="C26" s="168"/>
      <c r="D26" s="169" t="str">
        <f t="shared" si="0"/>
        <v/>
      </c>
      <c r="E26" s="173"/>
    </row>
    <row r="27" spans="1:5" s="174" customFormat="1" ht="17.25" customHeight="1" x14ac:dyDescent="0.25">
      <c r="A27" s="418"/>
      <c r="B27" s="162" t="s">
        <v>31</v>
      </c>
      <c r="C27" s="168"/>
      <c r="D27" s="169" t="str">
        <f t="shared" si="0"/>
        <v/>
      </c>
      <c r="E27" s="173"/>
    </row>
    <row r="28" spans="1:5" s="174" customFormat="1" ht="17.25" customHeight="1" x14ac:dyDescent="0.25">
      <c r="A28" s="418"/>
      <c r="B28" s="162" t="s">
        <v>32</v>
      </c>
      <c r="C28" s="168"/>
      <c r="D28" s="169" t="str">
        <f t="shared" si="0"/>
        <v/>
      </c>
      <c r="E28" s="173"/>
    </row>
    <row r="29" spans="1:5" s="174" customFormat="1" ht="17.25" customHeight="1" x14ac:dyDescent="0.25">
      <c r="A29" s="418"/>
      <c r="B29" s="162" t="s">
        <v>33</v>
      </c>
      <c r="C29" s="168"/>
      <c r="D29" s="169" t="str">
        <f t="shared" si="0"/>
        <v/>
      </c>
      <c r="E29" s="173"/>
    </row>
    <row r="30" spans="1:5" s="174" customFormat="1" ht="17.25" customHeight="1" x14ac:dyDescent="0.25">
      <c r="A30" s="418"/>
      <c r="B30" s="163" t="s">
        <v>114</v>
      </c>
      <c r="C30" s="168"/>
      <c r="D30" s="169" t="str">
        <f t="shared" si="0"/>
        <v/>
      </c>
      <c r="E30" s="173"/>
    </row>
    <row r="31" spans="1:5" s="174" customFormat="1" ht="17.25" customHeight="1" x14ac:dyDescent="0.25">
      <c r="A31" s="418"/>
      <c r="B31" s="162" t="s">
        <v>34</v>
      </c>
      <c r="C31" s="168"/>
      <c r="D31" s="169" t="str">
        <f t="shared" si="0"/>
        <v/>
      </c>
      <c r="E31" s="173"/>
    </row>
    <row r="32" spans="1:5" s="174" customFormat="1" ht="17.25" customHeight="1" x14ac:dyDescent="0.25">
      <c r="A32" s="418"/>
      <c r="B32" s="163" t="s">
        <v>123</v>
      </c>
      <c r="C32" s="168"/>
      <c r="D32" s="169" t="str">
        <f t="shared" si="0"/>
        <v/>
      </c>
      <c r="E32" s="173"/>
    </row>
    <row r="33" spans="1:5" s="174" customFormat="1" ht="17.25" customHeight="1" x14ac:dyDescent="0.25">
      <c r="A33" s="418"/>
      <c r="B33" s="162" t="s">
        <v>233</v>
      </c>
      <c r="C33" s="168"/>
      <c r="D33" s="169" t="str">
        <f t="shared" si="0"/>
        <v/>
      </c>
      <c r="E33" s="173"/>
    </row>
    <row r="34" spans="1:5" s="174" customFormat="1" ht="17.25" customHeight="1" x14ac:dyDescent="0.25">
      <c r="A34" s="418"/>
      <c r="B34" s="163" t="s">
        <v>35</v>
      </c>
      <c r="C34" s="168"/>
      <c r="D34" s="169" t="str">
        <f t="shared" si="0"/>
        <v/>
      </c>
      <c r="E34" s="173"/>
    </row>
    <row r="35" spans="1:5" s="174" customFormat="1" ht="17.25" customHeight="1" x14ac:dyDescent="0.25">
      <c r="A35" s="418"/>
      <c r="B35" s="162" t="s">
        <v>264</v>
      </c>
      <c r="C35" s="168"/>
      <c r="D35" s="169" t="str">
        <f t="shared" si="0"/>
        <v/>
      </c>
      <c r="E35" s="173"/>
    </row>
    <row r="36" spans="1:5" s="174" customFormat="1" ht="17.25" customHeight="1" thickBot="1" x14ac:dyDescent="0.3">
      <c r="A36" s="418"/>
      <c r="B36" s="162" t="s">
        <v>133</v>
      </c>
      <c r="C36" s="259"/>
      <c r="D36" s="169" t="str">
        <f t="shared" si="0"/>
        <v/>
      </c>
      <c r="E36" s="173"/>
    </row>
    <row r="37" spans="1:5" ht="20.25" customHeight="1" thickBot="1" x14ac:dyDescent="0.3">
      <c r="B37" s="161" t="s">
        <v>16</v>
      </c>
      <c r="C37" s="164">
        <f>SUM(C6:C36)</f>
        <v>0</v>
      </c>
      <c r="D37" s="35"/>
    </row>
    <row r="38" spans="1:5" ht="18.75" customHeight="1" thickTop="1" x14ac:dyDescent="0.2">
      <c r="B38" s="53" t="str">
        <f>Copyright</f>
        <v>© 2016 Horizon Management Services LLC</v>
      </c>
      <c r="C38" s="23"/>
      <c r="D38" s="459" t="str">
        <f>Version</f>
        <v>Version 7.0</v>
      </c>
    </row>
    <row r="39" spans="1:5" ht="15" hidden="1" customHeight="1" x14ac:dyDescent="0.2">
      <c r="B39" s="53"/>
      <c r="C39" s="23"/>
      <c r="D39" s="24"/>
    </row>
    <row r="40" spans="1:5" hidden="1" x14ac:dyDescent="0.25">
      <c r="C40" s="49"/>
      <c r="D40" s="49"/>
    </row>
    <row r="41" spans="1:5" hidden="1" x14ac:dyDescent="0.25">
      <c r="B41" s="50"/>
      <c r="C41" s="49"/>
      <c r="D41" s="49"/>
    </row>
    <row r="42" spans="1:5" hidden="1" x14ac:dyDescent="0.25">
      <c r="C42" s="49"/>
      <c r="D42" s="49"/>
    </row>
    <row r="43" spans="1:5" hidden="1" x14ac:dyDescent="0.25">
      <c r="C43" s="49"/>
      <c r="D43" s="49"/>
    </row>
    <row r="44" spans="1:5" hidden="1" x14ac:dyDescent="0.25"/>
    <row r="45" spans="1:5" hidden="1" x14ac:dyDescent="0.25"/>
    <row r="46" spans="1:5" hidden="1" x14ac:dyDescent="0.25"/>
    <row r="47" spans="1:5" hidden="1" x14ac:dyDescent="0.25"/>
    <row r="48" spans="1:5" hidden="1" x14ac:dyDescent="0.25"/>
    <row r="49" hidden="1" x14ac:dyDescent="0.25"/>
  </sheetData>
  <sheetProtection algorithmName="SHA-512" hashValue="fBKG48HmxRYNLomdA/l5ZcCRVRu3iI1+sHjAczdehkL1vuiYQLP4ATVrr6+vhTKq3o/Zd1T7/y3h5aphyflGDQ==" saltValue="+hPh7rx8w/6BJzOYHi2c0Q==" spinCount="100000" sheet="1" objects="1" scenarios="1" selectLockedCells="1"/>
  <dataConsolidate/>
  <phoneticPr fontId="5" type="noConversion"/>
  <dataValidations count="1">
    <dataValidation type="list" allowBlank="1" showErrorMessage="1" error="Enter Score of 1, 2, 3, 4." sqref="C6:C36">
      <formula1>Answers</formula1>
    </dataValidation>
  </dataValidations>
  <printOptions horizontalCentered="1"/>
  <pageMargins left="0.25" right="0.25" top="0.5" bottom="0.75" header="0" footer="0.25"/>
  <pageSetup scale="95" orientation="portrait" r:id="rId1"/>
  <headerFooter>
    <oddFooter>&amp;L&amp;9© 2015 Horizon Management Services LLC
Date and Time Printed:  &amp;D    &amp;T
Filename:  &amp;Z&amp;F
Worksheet:  &amp;A      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99"/>
    <pageSetUpPr fitToPage="1"/>
  </sheetPr>
  <dimension ref="A1:H49"/>
  <sheetViews>
    <sheetView showGridLines="0" showRowColHeaders="0" zoomScaleNormal="100" zoomScaleSheetLayoutView="100" workbookViewId="0">
      <selection activeCell="C7" sqref="C7"/>
    </sheetView>
  </sheetViews>
  <sheetFormatPr defaultColWidth="0" defaultRowHeight="15" zeroHeight="1" x14ac:dyDescent="0.25"/>
  <cols>
    <col min="1" max="1" width="5.5703125" style="417" customWidth="1"/>
    <col min="2" max="2" width="100.5703125" style="39" customWidth="1"/>
    <col min="3" max="3" width="5.5703125" style="41" customWidth="1"/>
    <col min="4" max="4" width="29.28515625" style="41" customWidth="1"/>
    <col min="5" max="5" width="0.5703125" style="47" customWidth="1"/>
    <col min="6" max="16384" width="0" style="39" hidden="1"/>
  </cols>
  <sheetData>
    <row r="1" spans="1:8" x14ac:dyDescent="0.25">
      <c r="B1" s="166" t="str">
        <f>CONCATENATE(ReviewCompany,"    -    ",ReviewPerson)</f>
        <v>(Company Name)    -    (Your Name)</v>
      </c>
    </row>
    <row r="2" spans="1:8" ht="18.75" x14ac:dyDescent="0.25">
      <c r="B2" s="231" t="s">
        <v>178</v>
      </c>
    </row>
    <row r="3" spans="1:8" ht="18.75" x14ac:dyDescent="0.25">
      <c r="B3" s="167" t="s">
        <v>11</v>
      </c>
      <c r="C3" s="36"/>
      <c r="D3" s="52"/>
      <c r="E3" s="37"/>
      <c r="F3" s="38"/>
      <c r="H3" s="40"/>
    </row>
    <row r="4" spans="1:8" x14ac:dyDescent="0.25">
      <c r="E4" s="43"/>
      <c r="F4" s="44"/>
      <c r="H4" s="40"/>
    </row>
    <row r="5" spans="1:8" x14ac:dyDescent="0.25">
      <c r="B5" s="51" t="s">
        <v>19</v>
      </c>
      <c r="C5" s="175" t="s">
        <v>10</v>
      </c>
      <c r="E5" s="45"/>
      <c r="F5" s="46"/>
      <c r="H5" s="40"/>
    </row>
    <row r="6" spans="1:8" s="171" customFormat="1" ht="2.25" customHeight="1" x14ac:dyDescent="0.25">
      <c r="A6" s="418"/>
      <c r="B6" s="162"/>
      <c r="C6" s="176"/>
      <c r="D6" s="169"/>
      <c r="E6" s="170"/>
    </row>
    <row r="7" spans="1:8" s="171" customFormat="1" ht="17.25" customHeight="1" x14ac:dyDescent="0.25">
      <c r="A7" s="418"/>
      <c r="B7" s="162" t="s">
        <v>265</v>
      </c>
      <c r="C7" s="168"/>
      <c r="D7" s="169" t="str">
        <f t="shared" ref="D7:D24" si="0">IF(AND(C7&gt;=1,C7&lt;=4,INT(C7)=C7),VLOOKUP(C7,AnswerMatrix,2),"")</f>
        <v/>
      </c>
      <c r="E7" s="170"/>
      <c r="H7" s="172"/>
    </row>
    <row r="8" spans="1:8" s="171" customFormat="1" ht="17.25" customHeight="1" x14ac:dyDescent="0.25">
      <c r="A8" s="418"/>
      <c r="B8" s="162" t="s">
        <v>266</v>
      </c>
      <c r="C8" s="168"/>
      <c r="D8" s="169" t="str">
        <f t="shared" si="0"/>
        <v/>
      </c>
      <c r="E8" s="170"/>
    </row>
    <row r="9" spans="1:8" s="171" customFormat="1" ht="17.25" customHeight="1" x14ac:dyDescent="0.25">
      <c r="A9" s="418"/>
      <c r="B9" s="163" t="s">
        <v>115</v>
      </c>
      <c r="C9" s="168"/>
      <c r="D9" s="169" t="str">
        <f t="shared" si="0"/>
        <v/>
      </c>
      <c r="E9" s="170"/>
    </row>
    <row r="10" spans="1:8" s="171" customFormat="1" ht="17.25" customHeight="1" x14ac:dyDescent="0.25">
      <c r="A10" s="418"/>
      <c r="B10" s="162" t="s">
        <v>74</v>
      </c>
      <c r="C10" s="168"/>
      <c r="D10" s="169" t="str">
        <f t="shared" si="0"/>
        <v/>
      </c>
      <c r="E10" s="170"/>
    </row>
    <row r="11" spans="1:8" s="171" customFormat="1" ht="17.25" customHeight="1" x14ac:dyDescent="0.25">
      <c r="A11" s="418"/>
      <c r="B11" s="162" t="s">
        <v>237</v>
      </c>
      <c r="C11" s="168"/>
      <c r="D11" s="169" t="str">
        <f t="shared" si="0"/>
        <v/>
      </c>
      <c r="E11" s="170"/>
    </row>
    <row r="12" spans="1:8" s="171" customFormat="1" ht="17.25" customHeight="1" x14ac:dyDescent="0.25">
      <c r="A12" s="418"/>
      <c r="B12" s="162" t="s">
        <v>36</v>
      </c>
      <c r="C12" s="168"/>
      <c r="D12" s="169" t="str">
        <f t="shared" si="0"/>
        <v/>
      </c>
      <c r="E12" s="170"/>
    </row>
    <row r="13" spans="1:8" s="171" customFormat="1" ht="17.25" customHeight="1" x14ac:dyDescent="0.25">
      <c r="A13" s="418"/>
      <c r="B13" s="162" t="s">
        <v>267</v>
      </c>
      <c r="C13" s="168"/>
      <c r="D13" s="169" t="str">
        <f t="shared" si="0"/>
        <v/>
      </c>
      <c r="E13" s="170"/>
    </row>
    <row r="14" spans="1:8" s="171" customFormat="1" ht="17.25" customHeight="1" x14ac:dyDescent="0.25">
      <c r="A14" s="418"/>
      <c r="B14" s="162" t="s">
        <v>37</v>
      </c>
      <c r="C14" s="168"/>
      <c r="D14" s="169" t="str">
        <f t="shared" si="0"/>
        <v/>
      </c>
      <c r="E14" s="170"/>
    </row>
    <row r="15" spans="1:8" s="171" customFormat="1" ht="17.25" customHeight="1" x14ac:dyDescent="0.25">
      <c r="A15" s="418"/>
      <c r="B15" s="163" t="s">
        <v>268</v>
      </c>
      <c r="C15" s="168"/>
      <c r="D15" s="169" t="str">
        <f t="shared" si="0"/>
        <v/>
      </c>
      <c r="E15" s="170"/>
    </row>
    <row r="16" spans="1:8" s="171" customFormat="1" ht="17.25" customHeight="1" x14ac:dyDescent="0.25">
      <c r="A16" s="418"/>
      <c r="B16" s="162" t="s">
        <v>38</v>
      </c>
      <c r="C16" s="168"/>
      <c r="D16" s="169" t="str">
        <f t="shared" si="0"/>
        <v/>
      </c>
      <c r="E16" s="170"/>
    </row>
    <row r="17" spans="1:7" s="171" customFormat="1" ht="17.25" customHeight="1" x14ac:dyDescent="0.25">
      <c r="A17" s="418"/>
      <c r="B17" s="162" t="s">
        <v>269</v>
      </c>
      <c r="C17" s="168"/>
      <c r="D17" s="169" t="str">
        <f t="shared" si="0"/>
        <v/>
      </c>
      <c r="E17" s="170"/>
    </row>
    <row r="18" spans="1:7" s="171" customFormat="1" ht="17.25" customHeight="1" x14ac:dyDescent="0.25">
      <c r="A18" s="418"/>
      <c r="B18" s="163" t="s">
        <v>238</v>
      </c>
      <c r="C18" s="168"/>
      <c r="D18" s="169" t="str">
        <f t="shared" si="0"/>
        <v/>
      </c>
      <c r="E18" s="170"/>
    </row>
    <row r="19" spans="1:7" s="171" customFormat="1" ht="17.25" customHeight="1" x14ac:dyDescent="0.25">
      <c r="A19" s="418"/>
      <c r="B19" s="163" t="s">
        <v>116</v>
      </c>
      <c r="C19" s="168"/>
      <c r="D19" s="169" t="str">
        <f t="shared" si="0"/>
        <v/>
      </c>
      <c r="E19" s="170"/>
    </row>
    <row r="20" spans="1:7" s="171" customFormat="1" ht="17.25" customHeight="1" x14ac:dyDescent="0.25">
      <c r="A20" s="418"/>
      <c r="B20" s="163" t="s">
        <v>234</v>
      </c>
      <c r="C20" s="168"/>
      <c r="D20" s="169" t="str">
        <f t="shared" si="0"/>
        <v/>
      </c>
      <c r="E20" s="170"/>
    </row>
    <row r="21" spans="1:7" s="171" customFormat="1" ht="17.25" customHeight="1" x14ac:dyDescent="0.25">
      <c r="A21" s="418"/>
      <c r="B21" s="162" t="s">
        <v>39</v>
      </c>
      <c r="C21" s="168"/>
      <c r="D21" s="169" t="str">
        <f t="shared" si="0"/>
        <v/>
      </c>
      <c r="E21" s="170"/>
    </row>
    <row r="22" spans="1:7" s="171" customFormat="1" ht="17.25" customHeight="1" x14ac:dyDescent="0.25">
      <c r="A22" s="418"/>
      <c r="B22" s="162" t="s">
        <v>270</v>
      </c>
      <c r="C22" s="168"/>
      <c r="D22" s="169" t="str">
        <f t="shared" si="0"/>
        <v/>
      </c>
      <c r="E22" s="170"/>
    </row>
    <row r="23" spans="1:7" s="171" customFormat="1" ht="17.25" customHeight="1" x14ac:dyDescent="0.25">
      <c r="A23" s="418"/>
      <c r="B23" s="162" t="s">
        <v>271</v>
      </c>
      <c r="C23" s="168"/>
      <c r="D23" s="169" t="str">
        <f t="shared" si="0"/>
        <v/>
      </c>
      <c r="E23" s="170"/>
    </row>
    <row r="24" spans="1:7" s="171" customFormat="1" ht="17.25" customHeight="1" thickBot="1" x14ac:dyDescent="0.3">
      <c r="A24" s="418"/>
      <c r="B24" s="177" t="s">
        <v>134</v>
      </c>
      <c r="C24" s="168"/>
      <c r="D24" s="169" t="str">
        <f t="shared" si="0"/>
        <v/>
      </c>
      <c r="E24" s="170"/>
    </row>
    <row r="25" spans="1:7" ht="20.25" customHeight="1" thickBot="1" x14ac:dyDescent="0.3">
      <c r="A25" s="418"/>
      <c r="B25" s="161" t="s">
        <v>16</v>
      </c>
      <c r="C25" s="164">
        <f>SUM(C7:C24)</f>
        <v>0</v>
      </c>
      <c r="D25" s="35"/>
      <c r="G25" s="40"/>
    </row>
    <row r="26" spans="1:7" ht="18.75" customHeight="1" thickTop="1" x14ac:dyDescent="0.2">
      <c r="A26" s="418"/>
      <c r="B26" s="53" t="str">
        <f>Copyright</f>
        <v>© 2016 Horizon Management Services LLC</v>
      </c>
      <c r="C26" s="23"/>
      <c r="D26" s="459" t="str">
        <f>Version</f>
        <v>Version 7.0</v>
      </c>
      <c r="G26" s="40"/>
    </row>
    <row r="27" spans="1:7" ht="15" hidden="1" customHeight="1" x14ac:dyDescent="0.2">
      <c r="A27" s="418"/>
      <c r="B27" s="53"/>
      <c r="C27" s="46"/>
      <c r="D27" s="46"/>
    </row>
    <row r="28" spans="1:7" hidden="1" x14ac:dyDescent="0.25">
      <c r="A28" s="418"/>
      <c r="C28" s="49"/>
      <c r="D28" s="49"/>
    </row>
    <row r="29" spans="1:7" hidden="1" x14ac:dyDescent="0.25">
      <c r="A29" s="418"/>
      <c r="C29" s="49"/>
      <c r="D29" s="49"/>
    </row>
    <row r="30" spans="1:7" hidden="1" x14ac:dyDescent="0.25">
      <c r="A30" s="418"/>
      <c r="C30" s="49"/>
      <c r="D30" s="49"/>
    </row>
    <row r="31" spans="1:7" hidden="1" x14ac:dyDescent="0.25">
      <c r="A31" s="418"/>
      <c r="C31" s="49"/>
      <c r="D31" s="49"/>
    </row>
    <row r="32" spans="1:7" hidden="1" x14ac:dyDescent="0.25">
      <c r="A32" s="418"/>
    </row>
    <row r="33" spans="1:1" hidden="1" x14ac:dyDescent="0.25">
      <c r="A33" s="418"/>
    </row>
    <row r="34" spans="1:1" hidden="1" x14ac:dyDescent="0.25">
      <c r="A34" s="418"/>
    </row>
    <row r="35" spans="1:1" hidden="1" x14ac:dyDescent="0.25">
      <c r="A35" s="418"/>
    </row>
    <row r="36" spans="1:1" hidden="1" x14ac:dyDescent="0.25">
      <c r="A36" s="418"/>
    </row>
    <row r="37" spans="1:1" hidden="1" x14ac:dyDescent="0.25"/>
    <row r="38" spans="1:1" hidden="1" x14ac:dyDescent="0.25"/>
    <row r="39" spans="1:1" hidden="1" x14ac:dyDescent="0.25"/>
    <row r="40" spans="1:1" hidden="1" x14ac:dyDescent="0.25"/>
    <row r="41" spans="1:1" hidden="1" x14ac:dyDescent="0.25"/>
    <row r="42" spans="1:1" hidden="1" x14ac:dyDescent="0.25"/>
    <row r="43" spans="1:1" hidden="1" x14ac:dyDescent="0.25"/>
    <row r="44" spans="1:1" hidden="1" x14ac:dyDescent="0.25"/>
    <row r="45" spans="1:1" hidden="1" x14ac:dyDescent="0.25"/>
    <row r="46" spans="1:1" hidden="1" x14ac:dyDescent="0.25"/>
    <row r="47" spans="1:1" hidden="1" x14ac:dyDescent="0.25"/>
    <row r="48" spans="1:1" hidden="1" x14ac:dyDescent="0.25"/>
    <row r="49" hidden="1" x14ac:dyDescent="0.25"/>
  </sheetData>
  <sheetProtection algorithmName="SHA-512" hashValue="HqwE0v6dmIAHvFMeQrjtbzAS54k4EKcU1nOHmeGgf96Y8kxDB7I9bOYm5+TYadSsGjj9uBtXn5p0mVwOagk/pw==" saltValue="96e7RiX8xuv3qw21FTy+sw==" spinCount="100000" sheet="1" objects="1" scenarios="1" selectLockedCells="1"/>
  <phoneticPr fontId="5" type="noConversion"/>
  <dataValidations count="1">
    <dataValidation type="list" allowBlank="1" showErrorMessage="1" error="Enter Score of 1, 2, 3, 4." sqref="C7:C24">
      <formula1>Answers</formula1>
    </dataValidation>
  </dataValidations>
  <printOptions horizontalCentered="1"/>
  <pageMargins left="0.25" right="0.25" top="0.5" bottom="0.75" header="0" footer="0.25"/>
  <pageSetup scale="95" orientation="portrait" r:id="rId1"/>
  <headerFooter>
    <oddFooter>&amp;L&amp;9© 2015 Horizon Management Services LLC
Date and Time Printed:  &amp;D    &amp;T
Filename:  &amp;Z&amp;F
Worksheet:  &amp;A      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99"/>
    <pageSetUpPr fitToPage="1"/>
  </sheetPr>
  <dimension ref="A1:H49"/>
  <sheetViews>
    <sheetView showGridLines="0" showRowColHeaders="0" zoomScaleNormal="100" zoomScaleSheetLayoutView="100" workbookViewId="0">
      <selection activeCell="C7" sqref="C7"/>
    </sheetView>
  </sheetViews>
  <sheetFormatPr defaultColWidth="0" defaultRowHeight="15" zeroHeight="1" x14ac:dyDescent="0.25"/>
  <cols>
    <col min="1" max="1" width="5.5703125" style="417" customWidth="1"/>
    <col min="2" max="2" width="100.5703125" style="39" customWidth="1"/>
    <col min="3" max="3" width="5.5703125" style="41" customWidth="1"/>
    <col min="4" max="4" width="29.28515625" style="41" customWidth="1"/>
    <col min="5" max="5" width="0.42578125" style="178" customWidth="1"/>
    <col min="6" max="6" width="9.140625" style="41" hidden="1" customWidth="1"/>
    <col min="7" max="16384" width="0" style="39" hidden="1"/>
  </cols>
  <sheetData>
    <row r="1" spans="1:8" x14ac:dyDescent="0.25">
      <c r="B1" s="166" t="str">
        <f>CONCATENATE(ReviewCompany,"    -    ",ReviewPerson)</f>
        <v>(Company Name)    -    (Your Name)</v>
      </c>
    </row>
    <row r="2" spans="1:8" ht="18.75" x14ac:dyDescent="0.25">
      <c r="B2" s="231" t="s">
        <v>178</v>
      </c>
    </row>
    <row r="3" spans="1:8" ht="18.75" x14ac:dyDescent="0.25">
      <c r="B3" s="167" t="s">
        <v>12</v>
      </c>
      <c r="C3" s="36"/>
      <c r="D3" s="52"/>
      <c r="E3" s="37"/>
      <c r="F3" s="38"/>
      <c r="H3" s="40"/>
    </row>
    <row r="4" spans="1:8" x14ac:dyDescent="0.25">
      <c r="E4" s="43"/>
      <c r="F4" s="44"/>
      <c r="H4" s="40"/>
    </row>
    <row r="5" spans="1:8" x14ac:dyDescent="0.25">
      <c r="B5" s="51" t="s">
        <v>19</v>
      </c>
      <c r="C5" s="175" t="s">
        <v>10</v>
      </c>
      <c r="E5" s="45"/>
      <c r="F5" s="46"/>
      <c r="H5" s="40"/>
    </row>
    <row r="6" spans="1:8" s="56" customFormat="1" ht="2.25" customHeight="1" x14ac:dyDescent="0.25">
      <c r="A6" s="418"/>
      <c r="B6" s="162"/>
      <c r="C6" s="179"/>
      <c r="D6" s="54"/>
      <c r="E6" s="55"/>
    </row>
    <row r="7" spans="1:8" s="56" customFormat="1" ht="17.25" customHeight="1" x14ac:dyDescent="0.25">
      <c r="A7" s="418"/>
      <c r="B7" s="163" t="s">
        <v>117</v>
      </c>
      <c r="C7" s="159"/>
      <c r="D7" s="54" t="str">
        <f t="shared" ref="D7:D23" si="0">IF(AND(C7&gt;=1,C7&lt;=4,INT(C7)=C7),VLOOKUP(C7,AnswerMatrix,2),"")</f>
        <v/>
      </c>
      <c r="E7" s="180"/>
      <c r="F7" s="181"/>
      <c r="H7" s="57"/>
    </row>
    <row r="8" spans="1:8" s="56" customFormat="1" ht="17.25" customHeight="1" x14ac:dyDescent="0.25">
      <c r="A8" s="418"/>
      <c r="B8" s="163" t="s">
        <v>118</v>
      </c>
      <c r="C8" s="159"/>
      <c r="D8" s="54" t="str">
        <f t="shared" si="0"/>
        <v/>
      </c>
      <c r="E8" s="180"/>
      <c r="F8" s="181"/>
    </row>
    <row r="9" spans="1:8" s="56" customFormat="1" ht="17.25" customHeight="1" x14ac:dyDescent="0.25">
      <c r="A9" s="418"/>
      <c r="B9" s="163" t="s">
        <v>119</v>
      </c>
      <c r="C9" s="159"/>
      <c r="D9" s="54" t="str">
        <f t="shared" si="0"/>
        <v/>
      </c>
      <c r="E9" s="180"/>
      <c r="F9" s="181"/>
    </row>
    <row r="10" spans="1:8" s="56" customFormat="1" ht="17.25" customHeight="1" x14ac:dyDescent="0.25">
      <c r="A10" s="418"/>
      <c r="B10" s="163" t="s">
        <v>272</v>
      </c>
      <c r="C10" s="159"/>
      <c r="D10" s="54" t="str">
        <f t="shared" si="0"/>
        <v/>
      </c>
      <c r="E10" s="180"/>
      <c r="F10" s="181"/>
    </row>
    <row r="11" spans="1:8" s="56" customFormat="1" ht="17.25" customHeight="1" x14ac:dyDescent="0.25">
      <c r="A11" s="418"/>
      <c r="B11" s="163" t="s">
        <v>239</v>
      </c>
      <c r="C11" s="159"/>
      <c r="D11" s="54" t="str">
        <f t="shared" si="0"/>
        <v/>
      </c>
      <c r="E11" s="180"/>
      <c r="F11" s="181"/>
    </row>
    <row r="12" spans="1:8" s="56" customFormat="1" ht="17.25" customHeight="1" x14ac:dyDescent="0.25">
      <c r="A12" s="418"/>
      <c r="B12" s="163" t="s">
        <v>273</v>
      </c>
      <c r="C12" s="159"/>
      <c r="D12" s="54" t="str">
        <f t="shared" si="0"/>
        <v/>
      </c>
      <c r="E12" s="180"/>
      <c r="F12" s="181"/>
    </row>
    <row r="13" spans="1:8" s="56" customFormat="1" ht="17.25" customHeight="1" x14ac:dyDescent="0.25">
      <c r="A13" s="418"/>
      <c r="B13" s="163" t="s">
        <v>120</v>
      </c>
      <c r="C13" s="159"/>
      <c r="D13" s="54" t="str">
        <f t="shared" si="0"/>
        <v/>
      </c>
      <c r="E13" s="180"/>
      <c r="F13" s="181"/>
    </row>
    <row r="14" spans="1:8" s="56" customFormat="1" ht="17.25" customHeight="1" x14ac:dyDescent="0.25">
      <c r="A14" s="418"/>
      <c r="B14" s="163" t="s">
        <v>274</v>
      </c>
      <c r="C14" s="159"/>
      <c r="D14" s="54" t="str">
        <f t="shared" si="0"/>
        <v/>
      </c>
      <c r="E14" s="180"/>
      <c r="F14" s="181"/>
    </row>
    <row r="15" spans="1:8" s="56" customFormat="1" ht="17.25" customHeight="1" x14ac:dyDescent="0.25">
      <c r="A15" s="418"/>
      <c r="B15" s="163" t="s">
        <v>275</v>
      </c>
      <c r="C15" s="159"/>
      <c r="D15" s="54" t="str">
        <f t="shared" si="0"/>
        <v/>
      </c>
      <c r="E15" s="180"/>
      <c r="F15" s="181"/>
    </row>
    <row r="16" spans="1:8" s="56" customFormat="1" ht="17.25" customHeight="1" x14ac:dyDescent="0.25">
      <c r="A16" s="418"/>
      <c r="B16" s="163" t="s">
        <v>276</v>
      </c>
      <c r="C16" s="159"/>
      <c r="D16" s="54" t="str">
        <f t="shared" si="0"/>
        <v/>
      </c>
      <c r="E16" s="180"/>
      <c r="F16" s="181"/>
    </row>
    <row r="17" spans="1:7" s="56" customFormat="1" ht="17.25" customHeight="1" x14ac:dyDescent="0.25">
      <c r="A17" s="418"/>
      <c r="B17" s="163" t="s">
        <v>277</v>
      </c>
      <c r="C17" s="159"/>
      <c r="D17" s="54" t="str">
        <f t="shared" si="0"/>
        <v/>
      </c>
      <c r="E17" s="180"/>
      <c r="F17" s="181"/>
    </row>
    <row r="18" spans="1:7" s="56" customFormat="1" ht="17.25" customHeight="1" x14ac:dyDescent="0.25">
      <c r="A18" s="418"/>
      <c r="B18" s="163" t="s">
        <v>121</v>
      </c>
      <c r="C18" s="159"/>
      <c r="D18" s="54" t="str">
        <f t="shared" si="0"/>
        <v/>
      </c>
      <c r="E18" s="180"/>
      <c r="F18" s="181"/>
    </row>
    <row r="19" spans="1:7" s="56" customFormat="1" ht="17.25" customHeight="1" x14ac:dyDescent="0.25">
      <c r="A19" s="418"/>
      <c r="B19" s="163" t="s">
        <v>278</v>
      </c>
      <c r="C19" s="159"/>
      <c r="D19" s="54" t="str">
        <f t="shared" si="0"/>
        <v/>
      </c>
      <c r="E19" s="180"/>
      <c r="F19" s="181"/>
    </row>
    <row r="20" spans="1:7" s="56" customFormat="1" ht="17.25" customHeight="1" x14ac:dyDescent="0.25">
      <c r="A20" s="418"/>
      <c r="B20" s="163" t="s">
        <v>122</v>
      </c>
      <c r="C20" s="159"/>
      <c r="D20" s="54" t="str">
        <f t="shared" si="0"/>
        <v/>
      </c>
      <c r="E20" s="180"/>
      <c r="F20" s="181"/>
    </row>
    <row r="21" spans="1:7" s="56" customFormat="1" ht="17.25" customHeight="1" x14ac:dyDescent="0.25">
      <c r="A21" s="418"/>
      <c r="B21" s="177" t="s">
        <v>240</v>
      </c>
      <c r="C21" s="159"/>
      <c r="D21" s="54" t="str">
        <f t="shared" si="0"/>
        <v/>
      </c>
      <c r="E21" s="180"/>
      <c r="F21" s="181"/>
    </row>
    <row r="22" spans="1:7" s="56" customFormat="1" ht="17.25" customHeight="1" x14ac:dyDescent="0.25">
      <c r="A22" s="418"/>
      <c r="B22" s="163" t="s">
        <v>241</v>
      </c>
      <c r="C22" s="159"/>
      <c r="D22" s="54" t="str">
        <f t="shared" si="0"/>
        <v/>
      </c>
      <c r="E22" s="180"/>
      <c r="F22" s="181"/>
    </row>
    <row r="23" spans="1:7" s="56" customFormat="1" ht="17.25" customHeight="1" thickBot="1" x14ac:dyDescent="0.3">
      <c r="A23" s="418"/>
      <c r="B23" s="163" t="s">
        <v>279</v>
      </c>
      <c r="C23" s="159"/>
      <c r="D23" s="54" t="str">
        <f t="shared" si="0"/>
        <v/>
      </c>
      <c r="E23" s="180"/>
      <c r="F23" s="181"/>
    </row>
    <row r="24" spans="1:7" s="56" customFormat="1" ht="17.25" customHeight="1" thickBot="1" x14ac:dyDescent="0.3">
      <c r="A24" s="418"/>
      <c r="B24" s="161" t="s">
        <v>16</v>
      </c>
      <c r="C24" s="164">
        <f>SUM(C7:C23)</f>
        <v>0</v>
      </c>
      <c r="D24" s="35"/>
      <c r="E24" s="180"/>
      <c r="F24" s="181"/>
    </row>
    <row r="25" spans="1:7" ht="18.75" customHeight="1" thickTop="1" x14ac:dyDescent="0.2">
      <c r="A25" s="418"/>
      <c r="B25" s="53" t="str">
        <f>Copyright</f>
        <v>© 2016 Horizon Management Services LLC</v>
      </c>
      <c r="C25" s="23"/>
      <c r="D25" s="459" t="str">
        <f>Version</f>
        <v>Version 7.0</v>
      </c>
      <c r="E25" s="47"/>
      <c r="F25" s="39"/>
      <c r="G25" s="40"/>
    </row>
    <row r="26" spans="1:7" s="56" customFormat="1" ht="13.5" hidden="1" customHeight="1" x14ac:dyDescent="0.2">
      <c r="A26" s="418"/>
      <c r="B26" s="53"/>
      <c r="C26" s="46"/>
      <c r="D26" s="46"/>
      <c r="E26" s="55"/>
      <c r="G26" s="57"/>
    </row>
    <row r="27" spans="1:7" ht="20.25" hidden="1" customHeight="1" x14ac:dyDescent="0.25">
      <c r="A27" s="418"/>
      <c r="C27" s="49"/>
      <c r="D27" s="49"/>
      <c r="E27" s="47"/>
      <c r="F27" s="39"/>
      <c r="G27" s="40"/>
    </row>
    <row r="28" spans="1:7" ht="15" hidden="1" customHeight="1" x14ac:dyDescent="0.25">
      <c r="A28" s="418"/>
      <c r="C28" s="49"/>
      <c r="D28" s="49"/>
    </row>
    <row r="29" spans="1:7" ht="15" hidden="1" customHeight="1" x14ac:dyDescent="0.25">
      <c r="A29" s="418"/>
      <c r="C29" s="49"/>
      <c r="D29" s="49"/>
    </row>
    <row r="30" spans="1:7" hidden="1" x14ac:dyDescent="0.25">
      <c r="A30" s="418"/>
      <c r="C30" s="49"/>
      <c r="D30" s="49"/>
    </row>
    <row r="31" spans="1:7" hidden="1" x14ac:dyDescent="0.25">
      <c r="A31" s="418"/>
    </row>
    <row r="32" spans="1:7" hidden="1" x14ac:dyDescent="0.25">
      <c r="A32" s="418"/>
    </row>
    <row r="33" spans="1:1" hidden="1" x14ac:dyDescent="0.25">
      <c r="A33" s="418"/>
    </row>
    <row r="34" spans="1:1" hidden="1" x14ac:dyDescent="0.25">
      <c r="A34" s="418"/>
    </row>
    <row r="35" spans="1:1" hidden="1" x14ac:dyDescent="0.25">
      <c r="A35" s="418"/>
    </row>
    <row r="36" spans="1:1" hidden="1" x14ac:dyDescent="0.25">
      <c r="A36" s="418"/>
    </row>
    <row r="37" spans="1:1" hidden="1" x14ac:dyDescent="0.25"/>
    <row r="38" spans="1:1" hidden="1" x14ac:dyDescent="0.25"/>
    <row r="39" spans="1:1" hidden="1" x14ac:dyDescent="0.25"/>
    <row r="40" spans="1:1" hidden="1" x14ac:dyDescent="0.25"/>
    <row r="41" spans="1:1" hidden="1" x14ac:dyDescent="0.25"/>
    <row r="42" spans="1:1" hidden="1" x14ac:dyDescent="0.25"/>
    <row r="43" spans="1:1" hidden="1" x14ac:dyDescent="0.25"/>
    <row r="44" spans="1:1" hidden="1" x14ac:dyDescent="0.25"/>
    <row r="45" spans="1:1" hidden="1" x14ac:dyDescent="0.25"/>
    <row r="46" spans="1:1" hidden="1" x14ac:dyDescent="0.25"/>
    <row r="47" spans="1:1" hidden="1" x14ac:dyDescent="0.25"/>
    <row r="48" spans="1:1" hidden="1" x14ac:dyDescent="0.25"/>
    <row r="49" hidden="1" x14ac:dyDescent="0.25"/>
  </sheetData>
  <sheetProtection algorithmName="SHA-512" hashValue="N6p/oiWOEhrOZ4ZFCMKKZkd9Uflp8L9VQhxw6koimdYiFgufiz/r7BkNjsfz7S8o37cam5aq92CWe76XSR17cg==" saltValue="5t0rOmF9sp4Hj+DDhH1WQg==" spinCount="100000" sheet="1" objects="1" scenarios="1" selectLockedCells="1"/>
  <phoneticPr fontId="5" type="noConversion"/>
  <dataValidations count="1">
    <dataValidation type="list" allowBlank="1" showErrorMessage="1" error="Enter Score of 1, 2, 3, 4." sqref="C7:C23">
      <formula1>Answers</formula1>
    </dataValidation>
  </dataValidations>
  <printOptions horizontalCentered="1"/>
  <pageMargins left="0.25" right="0.25" top="0.5" bottom="0.75" header="0" footer="0"/>
  <pageSetup scale="95" orientation="portrait" r:id="rId1"/>
  <headerFooter>
    <oddFooter>&amp;L&amp;9© 2015 Horizon Management Services LLC
Date and Time Printed:  &amp;D    &amp;T
Filename:  &amp;Z&amp;F
Worksheet:  &amp;A      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99"/>
    <pageSetUpPr fitToPage="1"/>
  </sheetPr>
  <dimension ref="A1:H72"/>
  <sheetViews>
    <sheetView showGridLines="0" showRowColHeaders="0" zoomScaleNormal="100" zoomScaleSheetLayoutView="100" workbookViewId="0">
      <selection activeCell="C7" sqref="C7"/>
    </sheetView>
  </sheetViews>
  <sheetFormatPr defaultColWidth="0" defaultRowHeight="15" zeroHeight="1" x14ac:dyDescent="0.25"/>
  <cols>
    <col min="1" max="1" width="5.5703125" style="417" customWidth="1"/>
    <col min="2" max="2" width="100.5703125" style="415" customWidth="1"/>
    <col min="3" max="3" width="5.5703125" style="41" customWidth="1"/>
    <col min="4" max="4" width="29.28515625" style="41" customWidth="1"/>
    <col min="5" max="5" width="0.42578125" style="178" customWidth="1"/>
    <col min="6" max="6" width="12.5703125" style="41" hidden="1" customWidth="1"/>
    <col min="7" max="7" width="5.5703125" style="415" hidden="1" customWidth="1"/>
    <col min="8" max="16384" width="9.140625" style="415" hidden="1"/>
  </cols>
  <sheetData>
    <row r="1" spans="1:8" x14ac:dyDescent="0.25">
      <c r="B1" s="166" t="str">
        <f>CONCATENATE(ReviewCompany,"    -    ",ReviewPerson)</f>
        <v>(Company Name)    -    (Your Name)</v>
      </c>
    </row>
    <row r="2" spans="1:8" ht="18.75" x14ac:dyDescent="0.25">
      <c r="B2" s="231" t="s">
        <v>178</v>
      </c>
    </row>
    <row r="3" spans="1:8" ht="18.75" x14ac:dyDescent="0.25">
      <c r="B3" s="167" t="s">
        <v>253</v>
      </c>
      <c r="C3" s="36"/>
      <c r="D3" s="52"/>
      <c r="E3" s="37"/>
      <c r="F3" s="38"/>
      <c r="H3" s="40"/>
    </row>
    <row r="4" spans="1:8" x14ac:dyDescent="0.25">
      <c r="E4" s="43"/>
      <c r="F4" s="44"/>
      <c r="H4" s="40"/>
    </row>
    <row r="5" spans="1:8" x14ac:dyDescent="0.25">
      <c r="B5" s="51" t="s">
        <v>19</v>
      </c>
      <c r="C5" s="175" t="s">
        <v>10</v>
      </c>
      <c r="E5" s="45"/>
      <c r="F5" s="46"/>
      <c r="H5" s="40"/>
    </row>
    <row r="6" spans="1:8" s="171" customFormat="1" ht="2.25" customHeight="1" x14ac:dyDescent="0.25">
      <c r="A6" s="418"/>
      <c r="B6" s="162"/>
      <c r="C6" s="176"/>
      <c r="D6" s="169"/>
      <c r="E6" s="170"/>
    </row>
    <row r="7" spans="1:8" s="171" customFormat="1" ht="17.25" customHeight="1" x14ac:dyDescent="0.25">
      <c r="A7" s="418"/>
      <c r="B7" s="162" t="s">
        <v>249</v>
      </c>
      <c r="C7" s="168"/>
      <c r="D7" s="169" t="str">
        <f>IF(AND(C7&gt;=1,C7&lt;=4,INT(C7)=C7),VLOOKUP(C7,AnswerMatrix,2),"")</f>
        <v/>
      </c>
      <c r="E7" s="182"/>
      <c r="F7" s="411"/>
      <c r="G7" s="412"/>
      <c r="H7" s="172"/>
    </row>
    <row r="8" spans="1:8" s="171" customFormat="1" ht="17.25" customHeight="1" x14ac:dyDescent="0.25">
      <c r="A8" s="418"/>
      <c r="B8" s="162" t="s">
        <v>293</v>
      </c>
      <c r="C8" s="168"/>
      <c r="D8" s="169" t="str">
        <f>IF(AND(C8&gt;=1,C8&lt;=4,INT(C8)=C8),VLOOKUP(C8,AnswerMatrix,2),"")</f>
        <v/>
      </c>
      <c r="E8" s="182"/>
      <c r="F8" s="411"/>
      <c r="G8" s="412"/>
    </row>
    <row r="9" spans="1:8" s="171" customFormat="1" ht="17.25" customHeight="1" x14ac:dyDescent="0.25">
      <c r="A9" s="418"/>
      <c r="B9" s="162" t="s">
        <v>294</v>
      </c>
      <c r="C9" s="168"/>
      <c r="D9" s="169" t="str">
        <f t="shared" ref="D9:D21" si="0">IF(AND(C9&gt;=1,C9&lt;=4,INT(C9)=C9),VLOOKUP(C9,AnswerMatrix,2),"")</f>
        <v/>
      </c>
      <c r="E9" s="182"/>
      <c r="F9" s="410"/>
      <c r="G9" s="413"/>
    </row>
    <row r="10" spans="1:8" s="171" customFormat="1" ht="17.25" customHeight="1" x14ac:dyDescent="0.25">
      <c r="A10" s="418"/>
      <c r="B10" s="162" t="s">
        <v>295</v>
      </c>
      <c r="C10" s="168"/>
      <c r="D10" s="169" t="str">
        <f t="shared" si="0"/>
        <v/>
      </c>
      <c r="E10" s="182"/>
      <c r="F10" s="410"/>
      <c r="G10" s="413"/>
    </row>
    <row r="11" spans="1:8" s="171" customFormat="1" ht="17.25" customHeight="1" x14ac:dyDescent="0.25">
      <c r="A11" s="418"/>
      <c r="B11" s="162" t="s">
        <v>296</v>
      </c>
      <c r="C11" s="168"/>
      <c r="D11" s="169" t="str">
        <f t="shared" si="0"/>
        <v/>
      </c>
      <c r="E11" s="182"/>
      <c r="F11" s="410"/>
      <c r="G11" s="413"/>
    </row>
    <row r="12" spans="1:8" s="171" customFormat="1" ht="17.25" customHeight="1" x14ac:dyDescent="0.25">
      <c r="A12" s="418"/>
      <c r="B12" s="162" t="s">
        <v>298</v>
      </c>
      <c r="C12" s="168"/>
      <c r="D12" s="169" t="str">
        <f t="shared" si="0"/>
        <v/>
      </c>
      <c r="E12" s="182"/>
      <c r="F12" s="411"/>
      <c r="G12" s="413"/>
    </row>
    <row r="13" spans="1:8" s="171" customFormat="1" ht="17.25" customHeight="1" x14ac:dyDescent="0.25">
      <c r="A13" s="418"/>
      <c r="B13" s="162" t="s">
        <v>301</v>
      </c>
      <c r="C13" s="168"/>
      <c r="D13" s="169" t="str">
        <f t="shared" si="0"/>
        <v/>
      </c>
      <c r="E13" s="182"/>
      <c r="F13" s="411"/>
      <c r="G13" s="413"/>
    </row>
    <row r="14" spans="1:8" s="171" customFormat="1" ht="17.25" customHeight="1" x14ac:dyDescent="0.25">
      <c r="A14" s="418"/>
      <c r="B14" s="162" t="s">
        <v>302</v>
      </c>
      <c r="C14" s="168"/>
      <c r="D14" s="169" t="str">
        <f t="shared" si="0"/>
        <v/>
      </c>
      <c r="E14" s="182"/>
      <c r="F14" s="411"/>
      <c r="G14" s="413"/>
    </row>
    <row r="15" spans="1:8" s="171" customFormat="1" ht="17.25" customHeight="1" x14ac:dyDescent="0.25">
      <c r="A15" s="418"/>
      <c r="B15" s="162" t="s">
        <v>304</v>
      </c>
      <c r="C15" s="168"/>
      <c r="D15" s="169" t="str">
        <f t="shared" si="0"/>
        <v/>
      </c>
      <c r="E15" s="182"/>
      <c r="F15" s="411"/>
      <c r="G15" s="412"/>
    </row>
    <row r="16" spans="1:8" s="171" customFormat="1" ht="17.25" customHeight="1" x14ac:dyDescent="0.25">
      <c r="A16" s="418"/>
      <c r="B16" s="162" t="s">
        <v>306</v>
      </c>
      <c r="C16" s="168"/>
      <c r="D16" s="169" t="str">
        <f t="shared" si="0"/>
        <v/>
      </c>
      <c r="E16" s="182"/>
      <c r="F16" s="411"/>
      <c r="G16" s="413"/>
    </row>
    <row r="17" spans="1:8" s="171" customFormat="1" ht="17.25" customHeight="1" x14ac:dyDescent="0.25">
      <c r="A17" s="418"/>
      <c r="B17" s="162" t="s">
        <v>307</v>
      </c>
      <c r="C17" s="168"/>
      <c r="D17" s="169" t="str">
        <f t="shared" si="0"/>
        <v/>
      </c>
      <c r="E17" s="182"/>
      <c r="F17" s="411"/>
      <c r="G17" s="413"/>
    </row>
    <row r="18" spans="1:8" s="171" customFormat="1" ht="17.25" customHeight="1" x14ac:dyDescent="0.25">
      <c r="A18" s="418"/>
      <c r="B18" s="162" t="s">
        <v>308</v>
      </c>
      <c r="C18" s="168"/>
      <c r="D18" s="169" t="str">
        <f t="shared" si="0"/>
        <v/>
      </c>
      <c r="E18" s="456"/>
      <c r="F18" s="411"/>
      <c r="G18" s="413"/>
    </row>
    <row r="19" spans="1:8" ht="17.25" customHeight="1" x14ac:dyDescent="0.25">
      <c r="A19" s="418"/>
      <c r="B19" s="162" t="s">
        <v>309</v>
      </c>
      <c r="C19" s="168"/>
      <c r="D19" s="169" t="str">
        <f t="shared" si="0"/>
        <v/>
      </c>
      <c r="E19" s="47"/>
      <c r="F19" s="411"/>
      <c r="G19" s="414"/>
    </row>
    <row r="20" spans="1:8" ht="17.25" customHeight="1" x14ac:dyDescent="0.25">
      <c r="A20" s="418"/>
      <c r="B20" s="162" t="s">
        <v>311</v>
      </c>
      <c r="C20" s="168"/>
      <c r="D20" s="169" t="str">
        <f t="shared" si="0"/>
        <v/>
      </c>
      <c r="F20" s="411"/>
      <c r="G20" s="414"/>
    </row>
    <row r="21" spans="1:8" s="171" customFormat="1" ht="17.25" customHeight="1" x14ac:dyDescent="0.25">
      <c r="A21" s="418"/>
      <c r="B21" s="162" t="s">
        <v>315</v>
      </c>
      <c r="C21" s="168"/>
      <c r="D21" s="169" t="str">
        <f t="shared" si="0"/>
        <v/>
      </c>
      <c r="E21" s="182"/>
      <c r="F21" s="411"/>
      <c r="G21" s="413"/>
      <c r="H21" s="172"/>
    </row>
    <row r="22" spans="1:8" s="171" customFormat="1" ht="15" customHeight="1" x14ac:dyDescent="0.25">
      <c r="A22" s="418"/>
      <c r="B22" s="162" t="s">
        <v>316</v>
      </c>
      <c r="C22" s="168"/>
      <c r="D22" s="169" t="str">
        <f t="shared" ref="D22:D31" si="1">IF(AND(C22&gt;=1,C22&lt;=4,INT(C22)=C22),VLOOKUP(C22,AnswerMatrix,2),"")</f>
        <v/>
      </c>
      <c r="E22" s="182"/>
      <c r="F22" s="410"/>
      <c r="G22" s="413"/>
    </row>
    <row r="23" spans="1:8" s="171" customFormat="1" x14ac:dyDescent="0.25">
      <c r="A23" s="418"/>
      <c r="B23" s="162" t="s">
        <v>317</v>
      </c>
      <c r="C23" s="168"/>
      <c r="D23" s="169" t="str">
        <f t="shared" si="1"/>
        <v/>
      </c>
      <c r="E23" s="182"/>
      <c r="F23" s="410"/>
      <c r="G23" s="413"/>
    </row>
    <row r="24" spans="1:8" s="171" customFormat="1" ht="15" customHeight="1" x14ac:dyDescent="0.25">
      <c r="A24" s="418"/>
      <c r="B24" s="162" t="s">
        <v>318</v>
      </c>
      <c r="C24" s="168"/>
      <c r="D24" s="169" t="str">
        <f t="shared" si="1"/>
        <v/>
      </c>
      <c r="E24" s="182"/>
      <c r="F24" s="410"/>
      <c r="G24" s="413"/>
    </row>
    <row r="25" spans="1:8" s="171" customFormat="1" ht="17.25" customHeight="1" x14ac:dyDescent="0.25">
      <c r="A25" s="418"/>
      <c r="B25" s="162" t="s">
        <v>319</v>
      </c>
      <c r="C25" s="168"/>
      <c r="D25" s="169" t="str">
        <f t="shared" si="1"/>
        <v/>
      </c>
      <c r="E25" s="182"/>
      <c r="F25" s="410"/>
      <c r="G25" s="413"/>
    </row>
    <row r="26" spans="1:8" s="171" customFormat="1" ht="17.25" customHeight="1" x14ac:dyDescent="0.25">
      <c r="A26" s="418"/>
      <c r="B26" s="162" t="s">
        <v>320</v>
      </c>
      <c r="C26" s="168"/>
      <c r="D26" s="169" t="str">
        <f t="shared" si="1"/>
        <v/>
      </c>
      <c r="E26" s="182"/>
      <c r="F26" s="410"/>
      <c r="G26" s="413"/>
    </row>
    <row r="27" spans="1:8" s="171" customFormat="1" ht="17.25" customHeight="1" x14ac:dyDescent="0.25">
      <c r="A27" s="418"/>
      <c r="B27" s="162" t="s">
        <v>321</v>
      </c>
      <c r="C27" s="168"/>
      <c r="D27" s="169" t="str">
        <f t="shared" si="1"/>
        <v/>
      </c>
      <c r="E27" s="182"/>
      <c r="F27" s="411"/>
      <c r="G27" s="413"/>
    </row>
    <row r="28" spans="1:8" s="171" customFormat="1" ht="17.25" customHeight="1" x14ac:dyDescent="0.25">
      <c r="A28" s="418"/>
      <c r="B28" s="162" t="s">
        <v>322</v>
      </c>
      <c r="C28" s="168"/>
      <c r="D28" s="169" t="str">
        <f t="shared" si="1"/>
        <v/>
      </c>
      <c r="E28" s="170"/>
      <c r="F28" s="410"/>
      <c r="G28" s="413"/>
    </row>
    <row r="29" spans="1:8" ht="17.25" customHeight="1" x14ac:dyDescent="0.25">
      <c r="A29" s="418"/>
      <c r="B29" s="163" t="s">
        <v>250</v>
      </c>
      <c r="C29" s="168"/>
      <c r="D29" s="169" t="str">
        <f t="shared" si="1"/>
        <v/>
      </c>
    </row>
    <row r="30" spans="1:8" ht="17.25" customHeight="1" x14ac:dyDescent="0.25">
      <c r="A30" s="418"/>
      <c r="B30" s="380" t="s">
        <v>251</v>
      </c>
      <c r="C30" s="168"/>
      <c r="D30" s="380" t="str">
        <f t="shared" si="1"/>
        <v/>
      </c>
    </row>
    <row r="31" spans="1:8" ht="17.25" customHeight="1" x14ac:dyDescent="0.25">
      <c r="A31" s="418"/>
      <c r="B31" s="380" t="s">
        <v>252</v>
      </c>
      <c r="C31" s="168"/>
      <c r="D31" s="380" t="str">
        <f t="shared" si="1"/>
        <v/>
      </c>
    </row>
    <row r="32" spans="1:8" ht="17.25" customHeight="1" x14ac:dyDescent="0.25">
      <c r="A32" s="418"/>
      <c r="B32" s="381" t="s">
        <v>16</v>
      </c>
      <c r="C32" s="382">
        <f>SUM(C7:C31)</f>
        <v>0</v>
      </c>
      <c r="D32" s="383"/>
    </row>
    <row r="33" spans="1:7" ht="18.75" customHeight="1" x14ac:dyDescent="0.2">
      <c r="A33" s="418"/>
      <c r="B33" s="53" t="str">
        <f>Copyright</f>
        <v>© 2016 Horizon Management Services LLC</v>
      </c>
      <c r="C33" s="23"/>
      <c r="D33" s="459" t="str">
        <f>Version</f>
        <v>Version 7.0</v>
      </c>
      <c r="E33" s="47"/>
      <c r="F33" s="415"/>
      <c r="G33" s="40"/>
    </row>
    <row r="34" spans="1:7" hidden="1" x14ac:dyDescent="0.25">
      <c r="A34" s="418"/>
      <c r="B34" s="171"/>
      <c r="C34" s="171"/>
      <c r="D34" s="171"/>
    </row>
    <row r="35" spans="1:7" hidden="1" x14ac:dyDescent="0.25">
      <c r="A35" s="418"/>
      <c r="B35" s="48" t="str">
        <f>IF(LEFT(ReviewDate,1)&lt;&gt;"(",CONCATENATE(ReviewCompany,"  -  ",ReviewLocation,"  -  ",ReviewPerson,"  -  ",MONTH(ReviewDate),"/",DAY(ReviewDate),"/",YEAR(ReviewDate)),"")</f>
        <v/>
      </c>
      <c r="C35" s="46"/>
      <c r="D35" s="46"/>
    </row>
    <row r="36" spans="1:7" hidden="1" x14ac:dyDescent="0.25">
      <c r="A36" s="418"/>
      <c r="C36" s="46"/>
      <c r="D36" s="46"/>
    </row>
    <row r="37" spans="1:7" hidden="1" x14ac:dyDescent="0.25">
      <c r="C37" s="49"/>
      <c r="D37" s="49"/>
    </row>
    <row r="38" spans="1:7" hidden="1" x14ac:dyDescent="0.25">
      <c r="C38" s="49"/>
      <c r="D38" s="49"/>
    </row>
    <row r="39" spans="1:7" hidden="1" x14ac:dyDescent="0.25">
      <c r="C39" s="49"/>
      <c r="D39" s="49"/>
    </row>
    <row r="40" spans="1:7" hidden="1" x14ac:dyDescent="0.25">
      <c r="C40" s="49"/>
      <c r="D40" s="49"/>
    </row>
    <row r="41" spans="1:7" hidden="1" x14ac:dyDescent="0.25"/>
    <row r="42" spans="1:7" hidden="1" x14ac:dyDescent="0.25"/>
    <row r="43" spans="1:7" hidden="1" x14ac:dyDescent="0.25"/>
    <row r="44" spans="1:7" hidden="1" x14ac:dyDescent="0.25"/>
    <row r="45" spans="1:7" hidden="1" x14ac:dyDescent="0.25"/>
    <row r="46" spans="1:7" hidden="1" x14ac:dyDescent="0.25"/>
    <row r="47" spans="1:7" hidden="1" x14ac:dyDescent="0.25"/>
    <row r="48" spans="1:7"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sheetData>
  <sheetProtection algorithmName="SHA-512" hashValue="M8efU5Rtx77gvtb0QCP5tFFLq7L4yg7nB5d+dXgQnX2apa/D7puS17OF29AQJyrnKtuL42ln4pTPUKzKMaWq6g==" saltValue="LNvzRlakYJIBYm0ophaveQ==" spinCount="100000" sheet="1" objects="1" scenarios="1" selectLockedCells="1"/>
  <phoneticPr fontId="5" type="noConversion"/>
  <dataValidations count="1">
    <dataValidation type="list" allowBlank="1" showErrorMessage="1" error="Enter Score of 1, 2, 3, 4." sqref="C7:C31">
      <formula1>Answers</formula1>
    </dataValidation>
  </dataValidations>
  <printOptions horizontalCentered="1"/>
  <pageMargins left="0.25" right="0.25" top="0.5" bottom="0.75" header="0" footer="0.25"/>
  <pageSetup scale="95" orientation="portrait" r:id="rId1"/>
  <headerFooter>
    <oddFooter>&amp;L&amp;9© 2015 Horizon Management Services LLC
Date and Time Printed:  &amp;D    &amp;T
Filename:  &amp;Z&amp;F
Worksheet:  &amp;A      Page &amp;P of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99"/>
    <pageSetUpPr fitToPage="1"/>
  </sheetPr>
  <dimension ref="A1:H54"/>
  <sheetViews>
    <sheetView showGridLines="0" showRowColHeaders="0" zoomScaleNormal="100" zoomScaleSheetLayoutView="100" workbookViewId="0">
      <selection activeCell="C7" sqref="C7"/>
    </sheetView>
  </sheetViews>
  <sheetFormatPr defaultColWidth="0" defaultRowHeight="15" zeroHeight="1" x14ac:dyDescent="0.25"/>
  <cols>
    <col min="1" max="1" width="5.5703125" style="417" customWidth="1"/>
    <col min="2" max="2" width="100.5703125" style="39" customWidth="1"/>
    <col min="3" max="3" width="5.5703125" style="41" customWidth="1"/>
    <col min="4" max="4" width="29.28515625" style="41" customWidth="1"/>
    <col min="5" max="5" width="0.28515625" style="178" customWidth="1"/>
    <col min="6" max="6" width="9.140625" style="41" hidden="1" customWidth="1"/>
    <col min="7" max="16384" width="0" style="39" hidden="1"/>
  </cols>
  <sheetData>
    <row r="1" spans="1:8" x14ac:dyDescent="0.25">
      <c r="B1" s="166" t="str">
        <f>CONCATENATE(ReviewCompany,"    -    ",ReviewPerson)</f>
        <v>(Company Name)    -    (Your Name)</v>
      </c>
    </row>
    <row r="2" spans="1:8" ht="18.75" x14ac:dyDescent="0.25">
      <c r="B2" s="231" t="s">
        <v>178</v>
      </c>
    </row>
    <row r="3" spans="1:8" ht="18.75" x14ac:dyDescent="0.25">
      <c r="B3" s="167" t="s">
        <v>14</v>
      </c>
      <c r="C3" s="36"/>
      <c r="D3" s="52"/>
      <c r="E3" s="37"/>
      <c r="F3" s="38"/>
      <c r="H3" s="40"/>
    </row>
    <row r="4" spans="1:8" x14ac:dyDescent="0.25">
      <c r="E4" s="43"/>
      <c r="F4" s="44"/>
      <c r="H4" s="40"/>
    </row>
    <row r="5" spans="1:8" x14ac:dyDescent="0.25">
      <c r="B5" s="51" t="s">
        <v>19</v>
      </c>
      <c r="C5" s="175" t="s">
        <v>10</v>
      </c>
      <c r="E5" s="45"/>
      <c r="F5" s="46"/>
      <c r="H5" s="40"/>
    </row>
    <row r="6" spans="1:8" s="171" customFormat="1" ht="2.25" customHeight="1" x14ac:dyDescent="0.25">
      <c r="A6" s="418"/>
      <c r="B6" s="162"/>
      <c r="C6" s="176"/>
      <c r="D6" s="169"/>
      <c r="E6" s="170"/>
    </row>
    <row r="7" spans="1:8" s="171" customFormat="1" ht="17.25" customHeight="1" x14ac:dyDescent="0.25">
      <c r="A7" s="418"/>
      <c r="B7" s="162" t="s">
        <v>40</v>
      </c>
      <c r="C7" s="168"/>
      <c r="D7" s="169" t="str">
        <f t="shared" ref="D7:D24" si="0">IF(AND(C7&gt;=1,C7&lt;=4,INT(C7)=C7),VLOOKUP(C7,AnswerMatrix,2),"")</f>
        <v/>
      </c>
      <c r="E7" s="182"/>
      <c r="F7" s="183"/>
      <c r="H7" s="172"/>
    </row>
    <row r="8" spans="1:8" s="171" customFormat="1" ht="17.25" customHeight="1" x14ac:dyDescent="0.25">
      <c r="A8" s="418"/>
      <c r="B8" s="162" t="s">
        <v>293</v>
      </c>
      <c r="C8" s="168"/>
      <c r="D8" s="169" t="str">
        <f t="shared" si="0"/>
        <v/>
      </c>
      <c r="E8" s="182"/>
      <c r="F8" s="183"/>
    </row>
    <row r="9" spans="1:8" s="171" customFormat="1" ht="17.25" customHeight="1" x14ac:dyDescent="0.25">
      <c r="A9" s="418"/>
      <c r="B9" s="162" t="s">
        <v>294</v>
      </c>
      <c r="C9" s="168"/>
      <c r="D9" s="169" t="str">
        <f t="shared" si="0"/>
        <v/>
      </c>
      <c r="E9" s="182"/>
      <c r="F9" s="183"/>
    </row>
    <row r="10" spans="1:8" s="171" customFormat="1" ht="17.25" customHeight="1" x14ac:dyDescent="0.25">
      <c r="A10" s="418"/>
      <c r="B10" s="162" t="s">
        <v>295</v>
      </c>
      <c r="C10" s="168"/>
      <c r="D10" s="169" t="str">
        <f t="shared" si="0"/>
        <v/>
      </c>
      <c r="E10" s="182"/>
      <c r="F10" s="183"/>
    </row>
    <row r="11" spans="1:8" s="171" customFormat="1" ht="17.25" customHeight="1" x14ac:dyDescent="0.25">
      <c r="A11" s="418"/>
      <c r="B11" s="162" t="s">
        <v>297</v>
      </c>
      <c r="C11" s="168"/>
      <c r="D11" s="169" t="str">
        <f t="shared" si="0"/>
        <v/>
      </c>
      <c r="E11" s="182"/>
      <c r="F11" s="183"/>
    </row>
    <row r="12" spans="1:8" s="171" customFormat="1" ht="17.25" customHeight="1" x14ac:dyDescent="0.25">
      <c r="A12" s="418"/>
      <c r="B12" s="163" t="s">
        <v>299</v>
      </c>
      <c r="C12" s="168"/>
      <c r="D12" s="169" t="str">
        <f t="shared" si="0"/>
        <v/>
      </c>
      <c r="E12" s="182"/>
      <c r="F12" s="183"/>
    </row>
    <row r="13" spans="1:8" s="171" customFormat="1" ht="17.25" customHeight="1" x14ac:dyDescent="0.25">
      <c r="A13" s="418"/>
      <c r="B13" s="163" t="s">
        <v>300</v>
      </c>
      <c r="C13" s="168"/>
      <c r="D13" s="169" t="str">
        <f t="shared" si="0"/>
        <v/>
      </c>
      <c r="E13" s="182"/>
      <c r="F13" s="183"/>
    </row>
    <row r="14" spans="1:8" s="171" customFormat="1" ht="17.25" customHeight="1" x14ac:dyDescent="0.25">
      <c r="A14" s="418"/>
      <c r="B14" s="163" t="s">
        <v>303</v>
      </c>
      <c r="C14" s="168"/>
      <c r="D14" s="169" t="str">
        <f t="shared" si="0"/>
        <v/>
      </c>
      <c r="E14" s="182"/>
      <c r="F14" s="183"/>
    </row>
    <row r="15" spans="1:8" s="171" customFormat="1" ht="17.25" customHeight="1" x14ac:dyDescent="0.25">
      <c r="A15" s="418"/>
      <c r="B15" s="162" t="s">
        <v>304</v>
      </c>
      <c r="C15" s="168"/>
      <c r="D15" s="169" t="str">
        <f t="shared" si="0"/>
        <v/>
      </c>
      <c r="E15" s="182"/>
      <c r="F15" s="183"/>
    </row>
    <row r="16" spans="1:8" s="171" customFormat="1" ht="17.25" customHeight="1" x14ac:dyDescent="0.25">
      <c r="A16" s="418"/>
      <c r="B16" s="163" t="s">
        <v>305</v>
      </c>
      <c r="C16" s="168"/>
      <c r="D16" s="169" t="str">
        <f t="shared" si="0"/>
        <v/>
      </c>
      <c r="E16" s="182"/>
      <c r="F16" s="183"/>
    </row>
    <row r="17" spans="1:7" s="171" customFormat="1" ht="17.25" customHeight="1" x14ac:dyDescent="0.25">
      <c r="A17" s="418"/>
      <c r="B17" s="162" t="s">
        <v>307</v>
      </c>
      <c r="C17" s="168"/>
      <c r="D17" s="169" t="str">
        <f t="shared" si="0"/>
        <v/>
      </c>
      <c r="E17" s="182"/>
      <c r="F17" s="183"/>
    </row>
    <row r="18" spans="1:7" s="171" customFormat="1" ht="17.25" customHeight="1" x14ac:dyDescent="0.25">
      <c r="A18" s="418"/>
      <c r="B18" s="162" t="s">
        <v>308</v>
      </c>
      <c r="C18" s="168"/>
      <c r="D18" s="169" t="str">
        <f t="shared" si="0"/>
        <v/>
      </c>
      <c r="E18" s="182"/>
      <c r="F18" s="183"/>
    </row>
    <row r="19" spans="1:7" s="171" customFormat="1" ht="17.25" customHeight="1" x14ac:dyDescent="0.25">
      <c r="A19" s="418"/>
      <c r="B19" s="162" t="s">
        <v>309</v>
      </c>
      <c r="C19" s="168"/>
      <c r="D19" s="169" t="str">
        <f t="shared" si="0"/>
        <v/>
      </c>
      <c r="E19" s="182"/>
      <c r="F19" s="183"/>
    </row>
    <row r="20" spans="1:7" s="171" customFormat="1" ht="17.25" customHeight="1" x14ac:dyDescent="0.25">
      <c r="A20" s="418"/>
      <c r="B20" s="163" t="s">
        <v>310</v>
      </c>
      <c r="C20" s="168"/>
      <c r="D20" s="169" t="str">
        <f t="shared" si="0"/>
        <v/>
      </c>
      <c r="E20" s="182"/>
      <c r="F20" s="183"/>
    </row>
    <row r="21" spans="1:7" s="171" customFormat="1" ht="17.25" customHeight="1" x14ac:dyDescent="0.25">
      <c r="A21" s="418"/>
      <c r="B21" s="162" t="s">
        <v>312</v>
      </c>
      <c r="C21" s="168"/>
      <c r="D21" s="169" t="str">
        <f>IF(AND(C21&gt;=1,C21&lt;=4,INT(C21)=C21),VLOOKUP(C21,AnswerMatrix,2),"")</f>
        <v/>
      </c>
      <c r="E21" s="182"/>
      <c r="F21" s="183"/>
    </row>
    <row r="22" spans="1:7" s="171" customFormat="1" ht="17.25" customHeight="1" x14ac:dyDescent="0.25">
      <c r="A22" s="418"/>
      <c r="B22" s="163" t="s">
        <v>313</v>
      </c>
      <c r="C22" s="168"/>
      <c r="D22" s="169" t="str">
        <f>IF(AND(C22&gt;=1,C22&lt;=4,INT(C22)=C22),VLOOKUP(C22,AnswerMatrix,2),"")</f>
        <v/>
      </c>
      <c r="E22" s="182"/>
      <c r="F22" s="183"/>
    </row>
    <row r="23" spans="1:7" s="171" customFormat="1" ht="17.25" customHeight="1" x14ac:dyDescent="0.25">
      <c r="A23" s="418"/>
      <c r="B23" s="162" t="s">
        <v>314</v>
      </c>
      <c r="C23" s="168"/>
      <c r="D23" s="169" t="str">
        <f>IF(AND(C23&gt;=1,C23&lt;=4,INT(C23)=C23),VLOOKUP(C23,AnswerMatrix,2),"")</f>
        <v/>
      </c>
      <c r="E23" s="182"/>
      <c r="F23" s="183"/>
    </row>
    <row r="24" spans="1:7" s="171" customFormat="1" ht="17.25" customHeight="1" thickBot="1" x14ac:dyDescent="0.3">
      <c r="A24" s="418"/>
      <c r="B24" s="177" t="s">
        <v>247</v>
      </c>
      <c r="C24" s="168"/>
      <c r="D24" s="169" t="str">
        <f t="shared" si="0"/>
        <v/>
      </c>
      <c r="E24" s="182"/>
      <c r="F24" s="183"/>
    </row>
    <row r="25" spans="1:7" s="171" customFormat="1" ht="17.25" customHeight="1" thickBot="1" x14ac:dyDescent="0.3">
      <c r="A25" s="418"/>
      <c r="B25" s="161" t="s">
        <v>16</v>
      </c>
      <c r="C25" s="164">
        <f>SUM(C7:C24)</f>
        <v>0</v>
      </c>
      <c r="D25" s="35"/>
      <c r="E25" s="182"/>
      <c r="F25" s="183"/>
    </row>
    <row r="26" spans="1:7" ht="18.75" customHeight="1" thickTop="1" x14ac:dyDescent="0.2">
      <c r="A26" s="418"/>
      <c r="B26" s="53" t="str">
        <f>Copyright</f>
        <v>© 2016 Horizon Management Services LLC</v>
      </c>
      <c r="C26" s="23"/>
      <c r="D26" s="459" t="str">
        <f>Version</f>
        <v>Version 7.0</v>
      </c>
      <c r="E26" s="47"/>
      <c r="F26" s="39"/>
      <c r="G26" s="40"/>
    </row>
    <row r="27" spans="1:7" s="171" customFormat="1" ht="17.25" hidden="1" customHeight="1" x14ac:dyDescent="0.25">
      <c r="A27" s="418"/>
      <c r="B27" s="39"/>
      <c r="C27" s="41"/>
      <c r="D27" s="41"/>
    </row>
    <row r="28" spans="1:7" s="171" customFormat="1" ht="17.25" hidden="1" customHeight="1" x14ac:dyDescent="0.25">
      <c r="A28" s="418"/>
      <c r="B28" s="39"/>
      <c r="C28" s="41"/>
      <c r="D28" s="41"/>
    </row>
    <row r="29" spans="1:7" s="171" customFormat="1" ht="17.25" hidden="1" customHeight="1" x14ac:dyDescent="0.25">
      <c r="A29" s="418"/>
      <c r="B29" s="39"/>
      <c r="C29" s="41"/>
      <c r="D29" s="41"/>
    </row>
    <row r="30" spans="1:7" s="171" customFormat="1" ht="17.25" hidden="1" customHeight="1" x14ac:dyDescent="0.25">
      <c r="A30" s="418"/>
      <c r="B30" s="39"/>
      <c r="C30" s="41"/>
      <c r="D30" s="41"/>
    </row>
    <row r="31" spans="1:7" s="171" customFormat="1" ht="17.25" hidden="1" customHeight="1" x14ac:dyDescent="0.25">
      <c r="A31" s="418"/>
      <c r="B31" s="39"/>
      <c r="C31" s="41"/>
      <c r="D31" s="41"/>
    </row>
    <row r="32" spans="1:7" s="171" customFormat="1" ht="17.25" hidden="1" customHeight="1" x14ac:dyDescent="0.25">
      <c r="A32" s="418"/>
      <c r="B32" s="39"/>
      <c r="C32" s="41"/>
      <c r="D32" s="41"/>
    </row>
    <row r="33" spans="1:7" s="171" customFormat="1" ht="17.25" hidden="1" customHeight="1" x14ac:dyDescent="0.25">
      <c r="A33" s="418"/>
      <c r="B33" s="39"/>
      <c r="C33" s="41"/>
      <c r="D33" s="41"/>
    </row>
    <row r="34" spans="1:7" s="171" customFormat="1" ht="17.25" hidden="1" customHeight="1" x14ac:dyDescent="0.25">
      <c r="A34" s="418"/>
      <c r="B34" s="39"/>
      <c r="C34" s="41"/>
      <c r="D34" s="41"/>
    </row>
    <row r="35" spans="1:7" s="171" customFormat="1" ht="2.25" hidden="1" customHeight="1" x14ac:dyDescent="0.25">
      <c r="A35" s="418"/>
      <c r="B35" s="39"/>
      <c r="C35" s="41"/>
      <c r="D35" s="41"/>
      <c r="E35" s="170"/>
      <c r="G35" s="172"/>
    </row>
    <row r="36" spans="1:7" ht="20.25" hidden="1" customHeight="1" x14ac:dyDescent="0.25">
      <c r="A36" s="418"/>
      <c r="E36" s="47"/>
      <c r="F36" s="39"/>
      <c r="G36" s="40"/>
    </row>
    <row r="37" spans="1:7" hidden="1" x14ac:dyDescent="0.25"/>
    <row r="38" spans="1:7" hidden="1" x14ac:dyDescent="0.25"/>
    <row r="39" spans="1:7" hidden="1" x14ac:dyDescent="0.25"/>
    <row r="40" spans="1:7" hidden="1" x14ac:dyDescent="0.25"/>
    <row r="41" spans="1:7" hidden="1" x14ac:dyDescent="0.25"/>
    <row r="42" spans="1:7" hidden="1" x14ac:dyDescent="0.25"/>
    <row r="43" spans="1:7" hidden="1" x14ac:dyDescent="0.25"/>
    <row r="44" spans="1:7" hidden="1" x14ac:dyDescent="0.25"/>
    <row r="45" spans="1:7" hidden="1" x14ac:dyDescent="0.25"/>
    <row r="46" spans="1:7" hidden="1" x14ac:dyDescent="0.25"/>
    <row r="47" spans="1:7" hidden="1" x14ac:dyDescent="0.25"/>
    <row r="48" spans="1:7" hidden="1" x14ac:dyDescent="0.25"/>
    <row r="49" hidden="1" x14ac:dyDescent="0.25"/>
    <row r="50" hidden="1" x14ac:dyDescent="0.25"/>
    <row r="51" hidden="1" x14ac:dyDescent="0.25"/>
    <row r="52" hidden="1" x14ac:dyDescent="0.25"/>
    <row r="53" hidden="1" x14ac:dyDescent="0.25"/>
    <row r="54" hidden="1" x14ac:dyDescent="0.25"/>
  </sheetData>
  <sheetProtection algorithmName="SHA-512" hashValue="9mF+ffjogvBF9Drl2DXaRD3og8AfPpNdjuVWhXl+/araawy/ULbj+bSdbivq2jlle9DEAY1a6d5nJQymgSnkbw==" saltValue="6hN/oxgheTX8V2V+3rHvKA==" spinCount="100000" sheet="1" selectLockedCells="1"/>
  <phoneticPr fontId="5" type="noConversion"/>
  <dataValidations count="1">
    <dataValidation type="list" allowBlank="1" showErrorMessage="1" error="Enter Score of 1, 2, 3, 4." sqref="C7:C24">
      <formula1>Answers</formula1>
    </dataValidation>
  </dataValidations>
  <printOptions horizontalCentered="1"/>
  <pageMargins left="0.25" right="0.25" top="0.5" bottom="0.75" header="0" footer="0.25"/>
  <pageSetup scale="95" orientation="portrait" r:id="rId1"/>
  <headerFooter>
    <oddFooter>&amp;L&amp;9© 2015 Horizon Management Services LLC
Date and Time Printed:  &amp;D    &amp;T
Filename:  &amp;Z&amp;F
Worksheet:  &amp;A      Page &amp;P of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99"/>
    <pageSetUpPr fitToPage="1"/>
  </sheetPr>
  <dimension ref="A1:H49"/>
  <sheetViews>
    <sheetView showGridLines="0" showRowColHeaders="0" zoomScaleNormal="100" zoomScaleSheetLayoutView="100" workbookViewId="0">
      <selection activeCell="C7" sqref="C7"/>
    </sheetView>
  </sheetViews>
  <sheetFormatPr defaultColWidth="0" defaultRowHeight="15" zeroHeight="1" x14ac:dyDescent="0.25"/>
  <cols>
    <col min="1" max="1" width="5.5703125" style="417" customWidth="1"/>
    <col min="2" max="2" width="100.5703125" style="39" customWidth="1"/>
    <col min="3" max="3" width="5.5703125" style="41" customWidth="1"/>
    <col min="4" max="4" width="29.28515625" style="41" customWidth="1"/>
    <col min="5" max="5" width="0.28515625" style="178" customWidth="1"/>
    <col min="6" max="6" width="9.140625" style="41" hidden="1" customWidth="1"/>
    <col min="7" max="16384" width="0" style="39" hidden="1"/>
  </cols>
  <sheetData>
    <row r="1" spans="1:8" x14ac:dyDescent="0.25">
      <c r="B1" s="166" t="str">
        <f>CONCATENATE(ReviewCompany,"    -    ",ReviewPerson)</f>
        <v>(Company Name)    -    (Your Name)</v>
      </c>
    </row>
    <row r="2" spans="1:8" ht="18.75" x14ac:dyDescent="0.25">
      <c r="B2" s="231" t="s">
        <v>178</v>
      </c>
    </row>
    <row r="3" spans="1:8" ht="18.75" x14ac:dyDescent="0.25">
      <c r="B3" s="167" t="s">
        <v>13</v>
      </c>
      <c r="C3" s="36"/>
      <c r="D3" s="52"/>
      <c r="E3" s="37"/>
      <c r="F3" s="38"/>
      <c r="H3" s="40"/>
    </row>
    <row r="4" spans="1:8" x14ac:dyDescent="0.25">
      <c r="E4" s="43"/>
      <c r="F4" s="44"/>
      <c r="H4" s="40"/>
    </row>
    <row r="5" spans="1:8" x14ac:dyDescent="0.25">
      <c r="B5" s="51" t="s">
        <v>19</v>
      </c>
      <c r="C5" s="175" t="s">
        <v>10</v>
      </c>
      <c r="E5" s="45"/>
      <c r="F5" s="46"/>
      <c r="H5" s="40"/>
    </row>
    <row r="6" spans="1:8" s="171" customFormat="1" ht="2.25" customHeight="1" x14ac:dyDescent="0.25">
      <c r="A6" s="418"/>
      <c r="B6" s="162"/>
      <c r="C6" s="176"/>
      <c r="D6" s="169"/>
      <c r="E6" s="170"/>
    </row>
    <row r="7" spans="1:8" s="184" customFormat="1" ht="34.5" customHeight="1" x14ac:dyDescent="0.25">
      <c r="A7" s="418"/>
      <c r="B7" s="163" t="s">
        <v>243</v>
      </c>
      <c r="C7" s="168"/>
      <c r="D7" s="169" t="str">
        <f t="shared" ref="D7:D21" si="0">IF(AND(C7&gt;=1,C7&lt;=4,INT(C7)=C7),VLOOKUP(C7,AnswerMatrix,2),"")</f>
        <v/>
      </c>
      <c r="E7" s="182"/>
      <c r="F7" s="183"/>
    </row>
    <row r="8" spans="1:8" s="171" customFormat="1" ht="17.25" customHeight="1" x14ac:dyDescent="0.25">
      <c r="A8" s="418"/>
      <c r="B8" s="163" t="s">
        <v>124</v>
      </c>
      <c r="C8" s="168"/>
      <c r="D8" s="169" t="str">
        <f t="shared" si="0"/>
        <v/>
      </c>
      <c r="E8" s="182"/>
      <c r="F8" s="183"/>
    </row>
    <row r="9" spans="1:8" s="184" customFormat="1" ht="17.25" customHeight="1" x14ac:dyDescent="0.25">
      <c r="A9" s="418"/>
      <c r="B9" s="163" t="s">
        <v>244</v>
      </c>
      <c r="C9" s="168"/>
      <c r="D9" s="169" t="str">
        <f t="shared" si="0"/>
        <v/>
      </c>
      <c r="E9" s="182"/>
      <c r="F9" s="183"/>
    </row>
    <row r="10" spans="1:8" s="171" customFormat="1" ht="17.25" customHeight="1" x14ac:dyDescent="0.25">
      <c r="A10" s="418"/>
      <c r="B10" s="163" t="s">
        <v>245</v>
      </c>
      <c r="C10" s="168"/>
      <c r="D10" s="169" t="str">
        <f t="shared" si="0"/>
        <v/>
      </c>
      <c r="E10" s="182"/>
      <c r="F10" s="183"/>
    </row>
    <row r="11" spans="1:8" s="171" customFormat="1" ht="17.25" customHeight="1" x14ac:dyDescent="0.25">
      <c r="A11" s="418"/>
      <c r="B11" s="163" t="s">
        <v>280</v>
      </c>
      <c r="C11" s="168"/>
      <c r="D11" s="169" t="str">
        <f t="shared" si="0"/>
        <v/>
      </c>
      <c r="E11" s="182"/>
      <c r="F11" s="183"/>
    </row>
    <row r="12" spans="1:8" s="184" customFormat="1" ht="17.25" customHeight="1" x14ac:dyDescent="0.25">
      <c r="A12" s="418"/>
      <c r="B12" s="163" t="s">
        <v>125</v>
      </c>
      <c r="C12" s="168"/>
      <c r="D12" s="169" t="str">
        <f t="shared" si="0"/>
        <v/>
      </c>
      <c r="E12" s="182"/>
      <c r="F12" s="183"/>
    </row>
    <row r="13" spans="1:8" s="171" customFormat="1" ht="17.25" customHeight="1" x14ac:dyDescent="0.25">
      <c r="A13" s="418"/>
      <c r="B13" s="163" t="s">
        <v>126</v>
      </c>
      <c r="C13" s="168"/>
      <c r="D13" s="169" t="str">
        <f t="shared" si="0"/>
        <v/>
      </c>
      <c r="E13" s="182"/>
      <c r="F13" s="183"/>
    </row>
    <row r="14" spans="1:8" s="184" customFormat="1" ht="17.25" customHeight="1" x14ac:dyDescent="0.25">
      <c r="A14" s="418"/>
      <c r="B14" s="163" t="s">
        <v>127</v>
      </c>
      <c r="C14" s="168"/>
      <c r="D14" s="169" t="str">
        <f t="shared" si="0"/>
        <v/>
      </c>
      <c r="E14" s="182"/>
      <c r="F14" s="183"/>
    </row>
    <row r="15" spans="1:8" s="171" customFormat="1" ht="17.25" customHeight="1" x14ac:dyDescent="0.25">
      <c r="A15" s="418"/>
      <c r="B15" s="163" t="s">
        <v>128</v>
      </c>
      <c r="C15" s="168"/>
      <c r="D15" s="169" t="str">
        <f t="shared" si="0"/>
        <v/>
      </c>
      <c r="E15" s="182"/>
      <c r="F15" s="183"/>
    </row>
    <row r="16" spans="1:8" s="171" customFormat="1" ht="17.25" customHeight="1" x14ac:dyDescent="0.25">
      <c r="A16" s="418"/>
      <c r="B16" s="163" t="s">
        <v>129</v>
      </c>
      <c r="C16" s="168"/>
      <c r="D16" s="169" t="str">
        <f t="shared" si="0"/>
        <v/>
      </c>
      <c r="E16" s="182"/>
      <c r="F16" s="183"/>
    </row>
    <row r="17" spans="1:7" s="184" customFormat="1" ht="17.25" customHeight="1" x14ac:dyDescent="0.25">
      <c r="A17" s="418"/>
      <c r="B17" s="163" t="s">
        <v>281</v>
      </c>
      <c r="C17" s="168"/>
      <c r="D17" s="169" t="str">
        <f t="shared" si="0"/>
        <v/>
      </c>
      <c r="E17" s="182"/>
      <c r="F17" s="183"/>
    </row>
    <row r="18" spans="1:7" s="184" customFormat="1" ht="17.25" customHeight="1" x14ac:dyDescent="0.25">
      <c r="A18" s="418"/>
      <c r="B18" s="163" t="s">
        <v>130</v>
      </c>
      <c r="C18" s="168"/>
      <c r="D18" s="169" t="str">
        <f t="shared" si="0"/>
        <v/>
      </c>
      <c r="E18" s="182"/>
      <c r="F18" s="183"/>
    </row>
    <row r="19" spans="1:7" s="171" customFormat="1" ht="17.25" customHeight="1" x14ac:dyDescent="0.25">
      <c r="A19" s="418"/>
      <c r="B19" s="163" t="s">
        <v>131</v>
      </c>
      <c r="C19" s="168"/>
      <c r="D19" s="169" t="str">
        <f t="shared" si="0"/>
        <v/>
      </c>
      <c r="E19" s="182"/>
      <c r="F19" s="183"/>
    </row>
    <row r="20" spans="1:7" s="171" customFormat="1" ht="17.25" customHeight="1" x14ac:dyDescent="0.25">
      <c r="A20" s="418"/>
      <c r="B20" s="163" t="s">
        <v>132</v>
      </c>
      <c r="C20" s="168"/>
      <c r="D20" s="169" t="str">
        <f t="shared" si="0"/>
        <v/>
      </c>
      <c r="E20" s="182"/>
      <c r="F20" s="183"/>
    </row>
    <row r="21" spans="1:7" s="171" customFormat="1" ht="17.25" customHeight="1" x14ac:dyDescent="0.25">
      <c r="A21" s="418"/>
      <c r="B21" s="163" t="s">
        <v>242</v>
      </c>
      <c r="C21" s="168"/>
      <c r="D21" s="169" t="str">
        <f t="shared" si="0"/>
        <v/>
      </c>
      <c r="E21" s="182"/>
      <c r="F21" s="183"/>
    </row>
    <row r="22" spans="1:7" s="184" customFormat="1" ht="20.100000000000001" customHeight="1" thickBot="1" x14ac:dyDescent="0.3">
      <c r="A22" s="418"/>
      <c r="B22" s="163" t="s">
        <v>246</v>
      </c>
      <c r="C22" s="168"/>
      <c r="D22" s="169" t="str">
        <f>IF(AND(C22&gt;=1,C22&lt;=4,INT(C22)=C22),VLOOKUP(C22,AnswerMatrix,2),"")</f>
        <v/>
      </c>
      <c r="E22" s="182"/>
      <c r="F22" s="183"/>
    </row>
    <row r="23" spans="1:7" s="184" customFormat="1" ht="17.25" customHeight="1" thickBot="1" x14ac:dyDescent="0.3">
      <c r="A23" s="418"/>
      <c r="B23" s="161" t="s">
        <v>16</v>
      </c>
      <c r="C23" s="164">
        <f>SUM(C7:C22)</f>
        <v>0</v>
      </c>
      <c r="D23" s="35"/>
      <c r="E23" s="182"/>
      <c r="F23" s="183"/>
    </row>
    <row r="24" spans="1:7" ht="18.75" customHeight="1" thickTop="1" x14ac:dyDescent="0.2">
      <c r="A24" s="418"/>
      <c r="B24" s="53" t="str">
        <f>Copyright</f>
        <v>© 2016 Horizon Management Services LLC</v>
      </c>
      <c r="C24" s="23"/>
      <c r="D24" s="459" t="str">
        <f>Version</f>
        <v>Version 7.0</v>
      </c>
      <c r="E24" s="47"/>
      <c r="F24" s="39"/>
      <c r="G24" s="40"/>
    </row>
    <row r="25" spans="1:7" s="171" customFormat="1" ht="18" hidden="1" customHeight="1" x14ac:dyDescent="0.25">
      <c r="A25" s="418"/>
      <c r="B25" s="48" t="str">
        <f>IF(LEFT(ReviewDate,1)&lt;&gt;"(",CONCATENATE(ReviewCompany,"  -  ",ReviewLocation,"  -  ",ReviewPerson,"  -  ",MONTH(ReviewDate),"/",DAY(ReviewDate),"/",YEAR(ReviewDate)),"")</f>
        <v/>
      </c>
      <c r="C25" s="46"/>
      <c r="D25" s="46"/>
      <c r="E25" s="170"/>
      <c r="G25" s="172"/>
    </row>
    <row r="26" spans="1:7" ht="18" hidden="1" customHeight="1" x14ac:dyDescent="0.2">
      <c r="A26" s="418"/>
      <c r="B26" s="53"/>
      <c r="C26" s="46"/>
      <c r="D26" s="46"/>
      <c r="E26" s="47"/>
      <c r="F26" s="39"/>
      <c r="G26" s="40"/>
    </row>
    <row r="27" spans="1:7" ht="15" hidden="1" customHeight="1" x14ac:dyDescent="0.25">
      <c r="A27" s="418"/>
      <c r="C27" s="49"/>
      <c r="D27" s="49"/>
    </row>
    <row r="28" spans="1:7" ht="15" hidden="1" customHeight="1" x14ac:dyDescent="0.25">
      <c r="A28" s="418"/>
      <c r="C28" s="49"/>
      <c r="D28" s="49"/>
    </row>
    <row r="29" spans="1:7" hidden="1" x14ac:dyDescent="0.25">
      <c r="A29" s="418"/>
      <c r="C29" s="49"/>
      <c r="D29" s="49"/>
    </row>
    <row r="30" spans="1:7" hidden="1" x14ac:dyDescent="0.25">
      <c r="A30" s="418"/>
      <c r="C30" s="49"/>
      <c r="D30" s="49"/>
    </row>
    <row r="31" spans="1:7" hidden="1" x14ac:dyDescent="0.25">
      <c r="A31" s="418"/>
    </row>
    <row r="32" spans="1:7" hidden="1" x14ac:dyDescent="0.25">
      <c r="A32" s="418"/>
    </row>
    <row r="33" spans="1:1" hidden="1" x14ac:dyDescent="0.25">
      <c r="A33" s="418"/>
    </row>
    <row r="34" spans="1:1" hidden="1" x14ac:dyDescent="0.25">
      <c r="A34" s="418"/>
    </row>
    <row r="35" spans="1:1" hidden="1" x14ac:dyDescent="0.25">
      <c r="A35" s="418"/>
    </row>
    <row r="36" spans="1:1" hidden="1" x14ac:dyDescent="0.25">
      <c r="A36" s="418"/>
    </row>
    <row r="37" spans="1:1" hidden="1" x14ac:dyDescent="0.25"/>
    <row r="38" spans="1:1" hidden="1" x14ac:dyDescent="0.25"/>
    <row r="39" spans="1:1" hidden="1" x14ac:dyDescent="0.25"/>
    <row r="40" spans="1:1" hidden="1" x14ac:dyDescent="0.25"/>
    <row r="41" spans="1:1" hidden="1" x14ac:dyDescent="0.25"/>
    <row r="42" spans="1:1" hidden="1" x14ac:dyDescent="0.25"/>
    <row r="43" spans="1:1" hidden="1" x14ac:dyDescent="0.25"/>
    <row r="44" spans="1:1" hidden="1" x14ac:dyDescent="0.25"/>
    <row r="45" spans="1:1" hidden="1" x14ac:dyDescent="0.25"/>
    <row r="46" spans="1:1" hidden="1" x14ac:dyDescent="0.25"/>
    <row r="47" spans="1:1" hidden="1" x14ac:dyDescent="0.25"/>
    <row r="48" spans="1:1" hidden="1" x14ac:dyDescent="0.25"/>
    <row r="49" hidden="1" x14ac:dyDescent="0.25"/>
  </sheetData>
  <sheetProtection algorithmName="SHA-512" hashValue="kF1g3hSCiVHI8v2uTB7Qi0SUyuZ3uGOKKf9SkS6gZuuJaAbstiROAtzAR6jfQ7iRACbQqJmhVAM7msORA6px+w==" saltValue="fYLT7F5J2d+VDBnnEqT4Yg==" spinCount="100000" sheet="1" selectLockedCells="1"/>
  <phoneticPr fontId="5" type="noConversion"/>
  <dataValidations count="1">
    <dataValidation type="list" allowBlank="1" showErrorMessage="1" error="Enter Score of 1, 2, 3, 4." sqref="C7:C22">
      <formula1>Answers</formula1>
    </dataValidation>
  </dataValidations>
  <printOptions horizontalCentered="1"/>
  <pageMargins left="0.25" right="0.25" top="0.5" bottom="0.75" header="0" footer="0.25"/>
  <pageSetup scale="95" orientation="portrait" r:id="rId1"/>
  <headerFooter>
    <oddFooter>&amp;L&amp;9© 2015 Horizon Management Services LLC
Date and Time Printed:  &amp;D    &amp;T
Filename:  &amp;Z&amp;F
Worksheet:  &amp;A      Page &amp;P of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B50"/>
  <sheetViews>
    <sheetView showGridLines="0" showRowColHeaders="0" zoomScaleNormal="100" workbookViewId="0"/>
  </sheetViews>
  <sheetFormatPr defaultColWidth="0" defaultRowHeight="15" zeroHeight="1" x14ac:dyDescent="0.25"/>
  <cols>
    <col min="1" max="1" width="5.5703125" style="417" customWidth="1"/>
    <col min="2" max="2" width="108.42578125" customWidth="1"/>
  </cols>
  <sheetData>
    <row r="1" spans="1:2" s="419" customFormat="1" ht="24" customHeight="1" x14ac:dyDescent="0.25">
      <c r="A1" s="417"/>
    </row>
    <row r="2" spans="1:2" s="416" customFormat="1" ht="83.25" customHeight="1" x14ac:dyDescent="0.25">
      <c r="A2" s="417"/>
      <c r="B2" s="25" t="s">
        <v>58</v>
      </c>
    </row>
    <row r="3" spans="1:2" s="416" customFormat="1" ht="148.35" customHeight="1" x14ac:dyDescent="0.25">
      <c r="A3" s="417"/>
      <c r="B3" s="26" t="s">
        <v>105</v>
      </c>
    </row>
    <row r="4" spans="1:2" s="416" customFormat="1" ht="67.5" customHeight="1" x14ac:dyDescent="0.25">
      <c r="A4" s="417"/>
      <c r="B4" s="25" t="s">
        <v>59</v>
      </c>
    </row>
    <row r="5" spans="1:2" hidden="1" x14ac:dyDescent="0.25"/>
    <row r="6" spans="1:2" hidden="1" x14ac:dyDescent="0.25"/>
    <row r="7" spans="1:2" hidden="1" x14ac:dyDescent="0.25">
      <c r="A7" s="418"/>
    </row>
    <row r="8" spans="1:2" hidden="1" x14ac:dyDescent="0.25">
      <c r="A8" s="418"/>
    </row>
    <row r="9" spans="1:2" hidden="1" x14ac:dyDescent="0.25">
      <c r="A9" s="418"/>
    </row>
    <row r="10" spans="1:2" hidden="1" x14ac:dyDescent="0.25">
      <c r="A10" s="418"/>
    </row>
    <row r="11" spans="1:2" hidden="1" x14ac:dyDescent="0.25">
      <c r="A11" s="418"/>
    </row>
    <row r="12" spans="1:2" hidden="1" x14ac:dyDescent="0.25">
      <c r="A12" s="418"/>
    </row>
    <row r="13" spans="1:2" hidden="1" x14ac:dyDescent="0.25">
      <c r="A13" s="418"/>
    </row>
    <row r="14" spans="1:2" hidden="1" x14ac:dyDescent="0.25">
      <c r="A14" s="418"/>
    </row>
    <row r="15" spans="1:2" hidden="1" x14ac:dyDescent="0.25">
      <c r="A15" s="418"/>
    </row>
    <row r="16" spans="1:2" hidden="1" x14ac:dyDescent="0.25">
      <c r="A16" s="418"/>
    </row>
    <row r="17" spans="1:1" hidden="1" x14ac:dyDescent="0.25">
      <c r="A17" s="418"/>
    </row>
    <row r="18" spans="1:1" hidden="1" x14ac:dyDescent="0.25">
      <c r="A18" s="418"/>
    </row>
    <row r="19" spans="1:1" hidden="1" x14ac:dyDescent="0.25">
      <c r="A19" s="418"/>
    </row>
    <row r="20" spans="1:1" hidden="1" x14ac:dyDescent="0.25">
      <c r="A20" s="418"/>
    </row>
    <row r="21" spans="1:1" hidden="1" x14ac:dyDescent="0.25">
      <c r="A21" s="418"/>
    </row>
    <row r="22" spans="1:1" hidden="1" x14ac:dyDescent="0.25">
      <c r="A22" s="418"/>
    </row>
    <row r="23" spans="1:1" hidden="1" x14ac:dyDescent="0.25">
      <c r="A23" s="418"/>
    </row>
    <row r="24" spans="1:1" hidden="1" x14ac:dyDescent="0.25">
      <c r="A24" s="418"/>
    </row>
    <row r="25" spans="1:1" hidden="1" x14ac:dyDescent="0.25">
      <c r="A25" s="418"/>
    </row>
    <row r="26" spans="1:1" hidden="1" x14ac:dyDescent="0.25">
      <c r="A26" s="418"/>
    </row>
    <row r="27" spans="1:1" hidden="1" x14ac:dyDescent="0.25">
      <c r="A27" s="418"/>
    </row>
    <row r="28" spans="1:1" hidden="1" x14ac:dyDescent="0.25">
      <c r="A28" s="418"/>
    </row>
    <row r="29" spans="1:1" hidden="1" x14ac:dyDescent="0.25">
      <c r="A29" s="418"/>
    </row>
    <row r="30" spans="1:1" hidden="1" x14ac:dyDescent="0.25">
      <c r="A30" s="418"/>
    </row>
    <row r="31" spans="1:1" hidden="1" x14ac:dyDescent="0.25">
      <c r="A31" s="418"/>
    </row>
    <row r="32" spans="1:1" hidden="1" x14ac:dyDescent="0.25">
      <c r="A32" s="418"/>
    </row>
    <row r="33" spans="1:1" hidden="1" x14ac:dyDescent="0.25">
      <c r="A33" s="418"/>
    </row>
    <row r="34" spans="1:1" hidden="1" x14ac:dyDescent="0.25">
      <c r="A34" s="418"/>
    </row>
    <row r="35" spans="1:1" hidden="1" x14ac:dyDescent="0.25">
      <c r="A35" s="418"/>
    </row>
    <row r="36" spans="1:1" hidden="1" x14ac:dyDescent="0.25">
      <c r="A36" s="418"/>
    </row>
    <row r="37" spans="1:1" hidden="1" x14ac:dyDescent="0.25">
      <c r="A37" s="418"/>
    </row>
    <row r="38" spans="1:1" hidden="1" x14ac:dyDescent="0.25"/>
    <row r="39" spans="1:1" hidden="1" x14ac:dyDescent="0.25"/>
    <row r="40" spans="1:1" hidden="1" x14ac:dyDescent="0.25"/>
    <row r="41" spans="1:1" hidden="1" x14ac:dyDescent="0.25"/>
    <row r="42" spans="1:1" hidden="1" x14ac:dyDescent="0.25"/>
    <row r="43" spans="1:1" hidden="1" x14ac:dyDescent="0.25"/>
    <row r="44" spans="1:1" hidden="1" x14ac:dyDescent="0.25"/>
    <row r="45" spans="1:1" hidden="1" x14ac:dyDescent="0.25"/>
    <row r="46" spans="1:1" hidden="1" x14ac:dyDescent="0.25"/>
    <row r="47" spans="1:1" hidden="1" x14ac:dyDescent="0.25"/>
    <row r="48" spans="1:1" hidden="1" x14ac:dyDescent="0.25"/>
    <row r="49" hidden="1" x14ac:dyDescent="0.25"/>
    <row r="50" hidden="1" x14ac:dyDescent="0.25"/>
  </sheetData>
  <sheetProtection password="CF3B" sheet="1" objects="1" scenarios="1" selectLockedCells="1" selectUnlockedCells="1"/>
  <phoneticPr fontId="5" type="noConversion"/>
  <printOptions horizontalCentered="1"/>
  <pageMargins left="0" right="0" top="1" bottom="0.75" header="0" footer="0.25"/>
  <pageSetup orientation="landscape" r:id="rId1"/>
  <headerFooter>
    <oddFooter>&amp;L&amp;9© 2015 Horizon Management Services LLC
Date and Time Printed:  &amp;D    &amp;T
Filename:  &amp;Z&amp;F
Worksheet:  &amp;A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88</vt:i4>
      </vt:variant>
    </vt:vector>
  </HeadingPairs>
  <TitlesOfParts>
    <vt:vector size="101" baseType="lpstr">
      <vt:lpstr>Title</vt:lpstr>
      <vt:lpstr>Start</vt:lpstr>
      <vt:lpstr>Management</vt:lpstr>
      <vt:lpstr>Finance</vt:lpstr>
      <vt:lpstr>Sales</vt:lpstr>
      <vt:lpstr>Production</vt:lpstr>
      <vt:lpstr>Warehouse</vt:lpstr>
      <vt:lpstr>RiskMgt</vt:lpstr>
      <vt:lpstr>Stop Here</vt:lpstr>
      <vt:lpstr>CEO Instructions</vt:lpstr>
      <vt:lpstr>Enter Results</vt:lpstr>
      <vt:lpstr>Report - Summary</vt:lpstr>
      <vt:lpstr>Report - Detail</vt:lpstr>
      <vt:lpstr>AnswerMatrix</vt:lpstr>
      <vt:lpstr>Answers</vt:lpstr>
      <vt:lpstr>CompiliationCompany</vt:lpstr>
      <vt:lpstr>CompiliationDate</vt:lpstr>
      <vt:lpstr>CompiliationLocation</vt:lpstr>
      <vt:lpstr>Copyright</vt:lpstr>
      <vt:lpstr>EraseEnterResults</vt:lpstr>
      <vt:lpstr>EraseResults</vt:lpstr>
      <vt:lpstr>Name1</vt:lpstr>
      <vt:lpstr>Name10</vt:lpstr>
      <vt:lpstr>Name11</vt:lpstr>
      <vt:lpstr>Name12</vt:lpstr>
      <vt:lpstr>Name2</vt:lpstr>
      <vt:lpstr>Name3</vt:lpstr>
      <vt:lpstr>Name4</vt:lpstr>
      <vt:lpstr>Name5</vt:lpstr>
      <vt:lpstr>Name6</vt:lpstr>
      <vt:lpstr>Name7</vt:lpstr>
      <vt:lpstr>Name8</vt:lpstr>
      <vt:lpstr>Name9</vt:lpstr>
      <vt:lpstr>NeededFin</vt:lpstr>
      <vt:lpstr>NeededMgmt</vt:lpstr>
      <vt:lpstr>NeededOps</vt:lpstr>
      <vt:lpstr>NeededRiskMgmt</vt:lpstr>
      <vt:lpstr>NeededSales</vt:lpstr>
      <vt:lpstr>NeededWhse</vt:lpstr>
      <vt:lpstr>Person10Total</vt:lpstr>
      <vt:lpstr>Person11Total</vt:lpstr>
      <vt:lpstr>Person12Total</vt:lpstr>
      <vt:lpstr>Person1Total</vt:lpstr>
      <vt:lpstr>Person2Total</vt:lpstr>
      <vt:lpstr>Person3Total</vt:lpstr>
      <vt:lpstr>Person4Total</vt:lpstr>
      <vt:lpstr>Person5Total</vt:lpstr>
      <vt:lpstr>Person6Total</vt:lpstr>
      <vt:lpstr>Person7Total</vt:lpstr>
      <vt:lpstr>Person8Total</vt:lpstr>
      <vt:lpstr>Person9Total</vt:lpstr>
      <vt:lpstr>PersonTotals</vt:lpstr>
      <vt:lpstr>PointsFinance</vt:lpstr>
      <vt:lpstr>PointsManagement</vt:lpstr>
      <vt:lpstr>PointsOperations</vt:lpstr>
      <vt:lpstr>PointsRiskManagement</vt:lpstr>
      <vt:lpstr>PointsSales</vt:lpstr>
      <vt:lpstr>PointsTotal</vt:lpstr>
      <vt:lpstr>PointsWarehouse</vt:lpstr>
      <vt:lpstr>'CEO Instructions'!Print_Area</vt:lpstr>
      <vt:lpstr>'Enter Results'!Print_Area</vt:lpstr>
      <vt:lpstr>Finance!Print_Area</vt:lpstr>
      <vt:lpstr>Management!Print_Area</vt:lpstr>
      <vt:lpstr>Production!Print_Area</vt:lpstr>
      <vt:lpstr>'Report - Detail'!Print_Area</vt:lpstr>
      <vt:lpstr>'Report - Summary'!Print_Area</vt:lpstr>
      <vt:lpstr>RiskMgt!Print_Area</vt:lpstr>
      <vt:lpstr>Sales!Print_Area</vt:lpstr>
      <vt:lpstr>Start!Print_Area</vt:lpstr>
      <vt:lpstr>'Stop Here'!Print_Area</vt:lpstr>
      <vt:lpstr>Title!Print_Area</vt:lpstr>
      <vt:lpstr>Warehouse!Print_Area</vt:lpstr>
      <vt:lpstr>'Enter Results'!Print_Titles</vt:lpstr>
      <vt:lpstr>'Report - Detail'!Print_Titles</vt:lpstr>
      <vt:lpstr>QuestionsFinance</vt:lpstr>
      <vt:lpstr>QuestionsManagement</vt:lpstr>
      <vt:lpstr>QuestionsOperations</vt:lpstr>
      <vt:lpstr>QuestionsRiskManagement</vt:lpstr>
      <vt:lpstr>QuestionsSales</vt:lpstr>
      <vt:lpstr>QuestionsWarehouse</vt:lpstr>
      <vt:lpstr>ReviewCompany</vt:lpstr>
      <vt:lpstr>ReviewDate</vt:lpstr>
      <vt:lpstr>ReviewLocation</vt:lpstr>
      <vt:lpstr>ReviewPerson</vt:lpstr>
      <vt:lpstr>SCORESf</vt:lpstr>
      <vt:lpstr>SCORESm</vt:lpstr>
      <vt:lpstr>SCORESo</vt:lpstr>
      <vt:lpstr>SCORESr</vt:lpstr>
      <vt:lpstr>SCORESs</vt:lpstr>
      <vt:lpstr>SCORESw</vt:lpstr>
      <vt:lpstr>temp</vt:lpstr>
      <vt:lpstr>TotalAnswersNeeded</vt:lpstr>
      <vt:lpstr>TotalAnswersNeeded2</vt:lpstr>
      <vt:lpstr>TotalAnswersNeeded3</vt:lpstr>
      <vt:lpstr>TotalF</vt:lpstr>
      <vt:lpstr>TotalM</vt:lpstr>
      <vt:lpstr>TotalO</vt:lpstr>
      <vt:lpstr>TotalR</vt:lpstr>
      <vt:lpstr>TotalS</vt:lpstr>
      <vt:lpstr>TotalW</vt:lpstr>
      <vt:lpstr>Version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A. Duryee</dc:creator>
  <cp:lastModifiedBy>David A. Duryee</cp:lastModifiedBy>
  <cp:lastPrinted>2016-10-21T02:01:39Z</cp:lastPrinted>
  <dcterms:created xsi:type="dcterms:W3CDTF">2008-08-02T16:26:54Z</dcterms:created>
  <dcterms:modified xsi:type="dcterms:W3CDTF">2017-08-17T19:14:03Z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